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255" yWindow="1500" windowWidth="12255" windowHeight="6810" tabRatio="601" activeTab="1"/>
  </bookViews>
  <sheets>
    <sheet name="úvod" sheetId="17763" r:id="rId1"/>
    <sheet name="tab" sheetId="17764" r:id="rId2"/>
    <sheet name="Tab. 1 bilance" sheetId="17767" r:id="rId3"/>
    <sheet name="Tab. 2 ukazatele" sheetId="17765" r:id="rId4"/>
    <sheet name="TaB.3 platy" sheetId="17771" r:id="rId5"/>
    <sheet name="Tab.4 v+v" sheetId="17768" r:id="rId6"/>
    <sheet name="Tab. 5 výdaje kraje" sheetId="32" r:id="rId7"/>
    <sheet name="Tab. 6 Transfery" sheetId="48" r:id="rId8"/>
    <sheet name="Tab. 7 PF" sheetId="17734" r:id="rId9"/>
    <sheet name="Tab. 8 - EU" sheetId="17769" r:id="rId10"/>
    <sheet name="Tab. 9 EU platy- celkem" sheetId="17772" r:id="rId11"/>
    <sheet name="Tab. 9a OSS MV" sheetId="17773" r:id="rId12"/>
    <sheet name="Tab. 9b SOA Plzeň" sheetId="17774" r:id="rId13"/>
    <sheet name="Tab. 9c Policie ČR kraje" sheetId="17775" r:id="rId14"/>
    <sheet name="Tab. 9d HZS ČR kraje +ZÚ Hlučín" sheetId="17776" r:id="rId15"/>
    <sheet name="Tab.9e VOš a SOŠ PO F-M" sheetId="17777" r:id="rId16"/>
    <sheet name="Tab. 9f SUZ MV" sheetId="17778" r:id="rId17"/>
    <sheet name="Tab. 10 EU příjmy" sheetId="17770" r:id="rId18"/>
    <sheet name="schéma MV" sheetId="17762" r:id="rId19"/>
  </sheets>
  <externalReferences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dat00012">#REF!</definedName>
    <definedName name="_dat001">#REF!</definedName>
    <definedName name="_dat0010">#REF!</definedName>
    <definedName name="_dat0011">#REF!</definedName>
    <definedName name="_dat0012">#REF!</definedName>
    <definedName name="_dat0013">#REF!</definedName>
    <definedName name="_dat0014">#REF!</definedName>
    <definedName name="_dat0015">#REF!</definedName>
    <definedName name="_dat0016">#REF!</definedName>
    <definedName name="_dat0017">#REF!</definedName>
    <definedName name="_dat003">#REF!</definedName>
    <definedName name="_dat004">#REF!</definedName>
    <definedName name="_dat005">#REF!</definedName>
    <definedName name="_dat006">#REF!</definedName>
    <definedName name="_dat007">#REF!</definedName>
    <definedName name="_dat008">#REF!</definedName>
    <definedName name="_dat0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a" localSheetId="3">#REF!</definedName>
    <definedName name="a">#REF!</definedName>
    <definedName name="AccessDatabase">"C:\Dokumenty\Borisek\Excel\1998\ROZPIS1998\1LEDEN1998\akce98-1.mdb"</definedName>
    <definedName name="AV" localSheetId="18">'[1]301-KPR'!#REF!</definedName>
    <definedName name="AV" localSheetId="1">'[1]301-KPR'!#REF!</definedName>
    <definedName name="AV" localSheetId="17">'[1]301-KPR'!#REF!</definedName>
    <definedName name="AV" localSheetId="3">'[1]301-KPR'!#REF!</definedName>
    <definedName name="AV" localSheetId="9">'[1]301-KPR'!#REF!</definedName>
    <definedName name="AV" localSheetId="10">'[1]301-KPR'!#REF!</definedName>
    <definedName name="AV" localSheetId="11">'[1]301-KPR'!#REF!</definedName>
    <definedName name="AV" localSheetId="12">'[1]301-KPR'!#REF!</definedName>
    <definedName name="AV" localSheetId="13">'[1]301-KPR'!#REF!</definedName>
    <definedName name="AV" localSheetId="14">'[1]301-KPR'!#REF!</definedName>
    <definedName name="AV" localSheetId="16">'[1]301-KPR'!#REF!</definedName>
    <definedName name="AV" localSheetId="4">'[1]301-KPR'!#REF!</definedName>
    <definedName name="AV" localSheetId="15">'[1]301-KPR'!#REF!</definedName>
    <definedName name="AV" localSheetId="0">'[1]301-KPR'!#REF!</definedName>
    <definedName name="AV">'[1]301-KPR'!#REF!</definedName>
    <definedName name="AVC" localSheetId="3">'[1]301-KPR'!#REF!</definedName>
    <definedName name="AVC">'[1]301-KPR'!#REF!</definedName>
    <definedName name="bbbbbbbbbbbbbbbbbbbbbbbbbb" localSheetId="11">'[1]301-KPR'!#REF!</definedName>
    <definedName name="bbbbbbbbbbbbbbbbbbbbbbbbbb" localSheetId="12">'[1]301-KPR'!#REF!</definedName>
    <definedName name="bbbbbbbbbbbbbbbbbbbbbbbbbb" localSheetId="13">'[1]301-KPR'!#REF!</definedName>
    <definedName name="bbbbbbbbbbbbbbbbbbbbbbbbbb" localSheetId="14">'[1]301-KPR'!#REF!</definedName>
    <definedName name="bbbbbbbbbbbbbbbbbbbbbbbbbb" localSheetId="16">'[1]301-KPR'!#REF!</definedName>
    <definedName name="bbbbbbbbbbbbbbbbbbbbbbbbbb" localSheetId="15">'[1]301-KPR'!#REF!</definedName>
    <definedName name="bbbbbbbbbbbbbbbbbbbbbbbbbb">'[1]301-KPR'!#REF!</definedName>
    <definedName name="BIS" localSheetId="3">#REF!</definedName>
    <definedName name="BIS">#REF!</definedName>
    <definedName name="CBU" localSheetId="18">'[1]301-KPR'!#REF!</definedName>
    <definedName name="CBU" localSheetId="1">'[1]301-KPR'!#REF!</definedName>
    <definedName name="CBU" localSheetId="17">'[1]301-KPR'!#REF!</definedName>
    <definedName name="CBU" localSheetId="3">'[1]301-KPR'!#REF!</definedName>
    <definedName name="CBU" localSheetId="9">'[1]301-KPR'!#REF!</definedName>
    <definedName name="CBU" localSheetId="10">'[1]301-KPR'!#REF!</definedName>
    <definedName name="CBU" localSheetId="11">'[1]301-KPR'!#REF!</definedName>
    <definedName name="CBU" localSheetId="12">'[1]301-KPR'!#REF!</definedName>
    <definedName name="CBU" localSheetId="13">'[1]301-KPR'!#REF!</definedName>
    <definedName name="CBU" localSheetId="14">'[1]301-KPR'!#REF!</definedName>
    <definedName name="CBU" localSheetId="16">'[1]301-KPR'!#REF!</definedName>
    <definedName name="CBU" localSheetId="4">'[1]301-KPR'!#REF!</definedName>
    <definedName name="CBU" localSheetId="15">'[1]301-KPR'!#REF!</definedName>
    <definedName name="CBU" localSheetId="0">'[1]301-KPR'!#REF!</definedName>
    <definedName name="CBU">'[1]301-KPR'!#REF!</definedName>
    <definedName name="celkem1" localSheetId="3">'[1]301-KPR'!#REF!</definedName>
    <definedName name="celkem1">'[1]301-KPR'!#REF!</definedName>
    <definedName name="CP">"Computer Přes"</definedName>
    <definedName name="CSU" localSheetId="18">'[1]301-KPR'!#REF!</definedName>
    <definedName name="CSU" localSheetId="1">'[1]301-KPR'!#REF!</definedName>
    <definedName name="CSU" localSheetId="17">'[1]301-KPR'!#REF!</definedName>
    <definedName name="CSU" localSheetId="3">'[1]301-KPR'!#REF!</definedName>
    <definedName name="CSU" localSheetId="9">'[1]301-KPR'!#REF!</definedName>
    <definedName name="CSU" localSheetId="10">'[1]301-KPR'!#REF!</definedName>
    <definedName name="CSU" localSheetId="11">'[1]301-KPR'!#REF!</definedName>
    <definedName name="CSU" localSheetId="12">'[1]301-KPR'!#REF!</definedName>
    <definedName name="CSU" localSheetId="13">'[1]301-KPR'!#REF!</definedName>
    <definedName name="CSU" localSheetId="14">'[1]301-KPR'!#REF!</definedName>
    <definedName name="CSU" localSheetId="16">'[1]301-KPR'!#REF!</definedName>
    <definedName name="CSU" localSheetId="4">'[1]301-KPR'!#REF!</definedName>
    <definedName name="CSU" localSheetId="15">'[1]301-KPR'!#REF!</definedName>
    <definedName name="CSU" localSheetId="0">'[1]301-KPR'!#REF!</definedName>
    <definedName name="CSU">'[1]301-KPR'!#REF!</definedName>
    <definedName name="CUZK" localSheetId="18">'[1]301-KPR'!#REF!</definedName>
    <definedName name="CUZK" localSheetId="1">'[1]301-KPR'!#REF!</definedName>
    <definedName name="CUZK" localSheetId="17">'[1]301-KPR'!#REF!</definedName>
    <definedName name="CUZK" localSheetId="3">'[1]301-KPR'!#REF!</definedName>
    <definedName name="CUZK" localSheetId="9">'[1]301-KPR'!#REF!</definedName>
    <definedName name="CUZK" localSheetId="10">'[1]301-KPR'!#REF!</definedName>
    <definedName name="CUZK" localSheetId="11">'[1]301-KPR'!#REF!</definedName>
    <definedName name="CUZK" localSheetId="12">'[1]301-KPR'!#REF!</definedName>
    <definedName name="CUZK" localSheetId="13">'[1]301-KPR'!#REF!</definedName>
    <definedName name="CUZK" localSheetId="14">'[1]301-KPR'!#REF!</definedName>
    <definedName name="CUZK" localSheetId="16">'[1]301-KPR'!#REF!</definedName>
    <definedName name="CUZK" localSheetId="4">'[1]301-KPR'!#REF!</definedName>
    <definedName name="CUZK" localSheetId="15">'[1]301-KPR'!#REF!</definedName>
    <definedName name="CUZK" localSheetId="0">'[1]301-KPR'!#REF!</definedName>
    <definedName name="CUZK">'[1]301-KPR'!#REF!</definedName>
    <definedName name="CÚZK" localSheetId="3">'[2]301'!#REF!</definedName>
    <definedName name="CÚZK">'[2]301'!#REF!</definedName>
    <definedName name="CUZKL" localSheetId="3">'[1]301-KPR'!#REF!</definedName>
    <definedName name="CUZKL">'[1]301-KPR'!#REF!</definedName>
    <definedName name="dat" localSheetId="3">#REF!</definedName>
    <definedName name="dat">#REF!</definedName>
    <definedName name="DF_GRID_1" localSheetId="3">#REF!</definedName>
    <definedName name="DF_GRID_1">#REF!</definedName>
    <definedName name="FM" localSheetId="3">'[3]301-KPR'!#REF!</definedName>
    <definedName name="FM">'[3]301-KPR'!#REF!</definedName>
    <definedName name="GA" localSheetId="18">'[1]301-KPR'!#REF!</definedName>
    <definedName name="GA" localSheetId="1">'[1]301-KPR'!#REF!</definedName>
    <definedName name="GA" localSheetId="17">'[1]301-KPR'!#REF!</definedName>
    <definedName name="GA" localSheetId="3">'[1]301-KPR'!#REF!</definedName>
    <definedName name="GA" localSheetId="9">'[1]301-KPR'!#REF!</definedName>
    <definedName name="GA" localSheetId="10">'[1]301-KPR'!#REF!</definedName>
    <definedName name="GA" localSheetId="11">'[1]301-KPR'!#REF!</definedName>
    <definedName name="GA" localSheetId="12">'[1]301-KPR'!#REF!</definedName>
    <definedName name="GA" localSheetId="13">'[1]301-KPR'!#REF!</definedName>
    <definedName name="GA" localSheetId="14">'[1]301-KPR'!#REF!</definedName>
    <definedName name="GA" localSheetId="16">'[1]301-KPR'!#REF!</definedName>
    <definedName name="GA" localSheetId="4">'[1]301-KPR'!#REF!</definedName>
    <definedName name="GA" localSheetId="15">'[1]301-KPR'!#REF!</definedName>
    <definedName name="GA" localSheetId="0">'[1]301-KPR'!#REF!</definedName>
    <definedName name="GA">'[1]301-KPR'!#REF!</definedName>
    <definedName name="GAE" localSheetId="3">'[1]301-KPR'!#REF!</definedName>
    <definedName name="GAE">'[1]301-KPR'!#REF!</definedName>
    <definedName name="gggg" localSheetId="3">#REF!</definedName>
    <definedName name="gggg">#REF!</definedName>
    <definedName name="hhh" localSheetId="3">#REF!</definedName>
    <definedName name="hhh">#REF!</definedName>
    <definedName name="jik" localSheetId="3">#REF!</definedName>
    <definedName name="jik">#REF!</definedName>
    <definedName name="jjj" localSheetId="3">#REF!</definedName>
    <definedName name="jjj">#REF!</definedName>
    <definedName name="jksefjnsdf" localSheetId="3">'[1]301-KPR'!#REF!</definedName>
    <definedName name="jksefjnsdf">'[1]301-KPR'!#REF!</definedName>
    <definedName name="KK" localSheetId="3">#REF!</definedName>
    <definedName name="KK">#REF!</definedName>
    <definedName name="kontrolní" localSheetId="3">'[4]301'!#REF!</definedName>
    <definedName name="kontrolní">'[4]301'!#REF!</definedName>
    <definedName name="KPR" localSheetId="18">'[3]301-KPR'!#REF!</definedName>
    <definedName name="KPR" localSheetId="3">#REF!</definedName>
    <definedName name="KPR">#REF!</definedName>
    <definedName name="MDS" localSheetId="18">'[1]301-KPR'!#REF!</definedName>
    <definedName name="MDS" localSheetId="1">'[1]301-KPR'!#REF!</definedName>
    <definedName name="MDS" localSheetId="17">'[1]301-KPR'!#REF!</definedName>
    <definedName name="MDS" localSheetId="3">'[1]301-KPR'!#REF!</definedName>
    <definedName name="MDS" localSheetId="9">'[1]301-KPR'!#REF!</definedName>
    <definedName name="MDS" localSheetId="10">'[1]301-KPR'!#REF!</definedName>
    <definedName name="MDS" localSheetId="11">'[1]301-KPR'!#REF!</definedName>
    <definedName name="MDS" localSheetId="12">'[1]301-KPR'!#REF!</definedName>
    <definedName name="MDS" localSheetId="13">'[1]301-KPR'!#REF!</definedName>
    <definedName name="MDS" localSheetId="14">'[1]301-KPR'!#REF!</definedName>
    <definedName name="MDS" localSheetId="16">'[1]301-KPR'!#REF!</definedName>
    <definedName name="MDS" localSheetId="4">'[1]301-KPR'!#REF!</definedName>
    <definedName name="MDS" localSheetId="15">'[1]301-KPR'!#REF!</definedName>
    <definedName name="MDS" localSheetId="0">'[1]301-KPR'!#REF!</definedName>
    <definedName name="MDS">'[1]301-KPR'!#REF!</definedName>
    <definedName name="MF" localSheetId="3">#REF!</definedName>
    <definedName name="MF">#REF!</definedName>
    <definedName name="min_obdobi" localSheetId="3">#REF!</definedName>
    <definedName name="min_obdobi">#REF!</definedName>
    <definedName name="MK" localSheetId="18">'[1]301-KPR'!#REF!</definedName>
    <definedName name="MK" localSheetId="1">'[1]301-KPR'!#REF!</definedName>
    <definedName name="MK" localSheetId="17">'[1]301-KPR'!#REF!</definedName>
    <definedName name="MK" localSheetId="3">'[1]301-KPR'!#REF!</definedName>
    <definedName name="MK" localSheetId="9">'[1]301-KPR'!#REF!</definedName>
    <definedName name="MK" localSheetId="10">'[1]301-KPR'!#REF!</definedName>
    <definedName name="MK" localSheetId="11">'[1]301-KPR'!#REF!</definedName>
    <definedName name="MK" localSheetId="12">'[1]301-KPR'!#REF!</definedName>
    <definedName name="MK" localSheetId="13">'[1]301-KPR'!#REF!</definedName>
    <definedName name="MK" localSheetId="14">'[1]301-KPR'!#REF!</definedName>
    <definedName name="MK" localSheetId="16">'[1]301-KPR'!#REF!</definedName>
    <definedName name="MK" localSheetId="4">'[1]301-KPR'!#REF!</definedName>
    <definedName name="MK" localSheetId="15">'[1]301-KPR'!#REF!</definedName>
    <definedName name="MK" localSheetId="0">'[1]301-KPR'!#REF!</definedName>
    <definedName name="MK">'[1]301-KPR'!#REF!</definedName>
    <definedName name="MMR" localSheetId="3">#REF!</definedName>
    <definedName name="MMR">#REF!</definedName>
    <definedName name="MO" localSheetId="3">#REF!</definedName>
    <definedName name="MO">#REF!</definedName>
    <definedName name="MPO" localSheetId="18">'[1]301-KPR'!#REF!</definedName>
    <definedName name="MPO" localSheetId="1">'[1]301-KPR'!#REF!</definedName>
    <definedName name="MPO" localSheetId="17">'[1]301-KPR'!#REF!</definedName>
    <definedName name="MPO" localSheetId="3">'[1]301-KPR'!#REF!</definedName>
    <definedName name="MPO" localSheetId="9">'[1]301-KPR'!#REF!</definedName>
    <definedName name="MPO" localSheetId="10">'[1]301-KPR'!#REF!</definedName>
    <definedName name="MPO" localSheetId="11">'[1]301-KPR'!#REF!</definedName>
    <definedName name="MPO" localSheetId="12">'[1]301-KPR'!#REF!</definedName>
    <definedName name="MPO" localSheetId="13">'[1]301-KPR'!#REF!</definedName>
    <definedName name="MPO" localSheetId="14">'[1]301-KPR'!#REF!</definedName>
    <definedName name="MPO" localSheetId="16">'[1]301-KPR'!#REF!</definedName>
    <definedName name="MPO" localSheetId="4">'[1]301-KPR'!#REF!</definedName>
    <definedName name="MPO" localSheetId="15">'[1]301-KPR'!#REF!</definedName>
    <definedName name="MPO" localSheetId="0">'[1]301-KPR'!#REF!</definedName>
    <definedName name="MPO">'[1]301-KPR'!#REF!</definedName>
    <definedName name="MPSV" localSheetId="3">#REF!</definedName>
    <definedName name="MPSV">#REF!</definedName>
    <definedName name="MS" localSheetId="18">'[1]301-KPR'!#REF!</definedName>
    <definedName name="MS" localSheetId="1">'[1]301-KPR'!#REF!</definedName>
    <definedName name="MS" localSheetId="17">'[1]301-KPR'!#REF!</definedName>
    <definedName name="MS" localSheetId="3">'[1]301-KPR'!#REF!</definedName>
    <definedName name="MS" localSheetId="9">'[1]301-KPR'!#REF!</definedName>
    <definedName name="MS" localSheetId="10">'[1]301-KPR'!#REF!</definedName>
    <definedName name="MS" localSheetId="11">'[1]301-KPR'!#REF!</definedName>
    <definedName name="MS" localSheetId="12">'[1]301-KPR'!#REF!</definedName>
    <definedName name="MS" localSheetId="13">'[1]301-KPR'!#REF!</definedName>
    <definedName name="MS" localSheetId="14">'[1]301-KPR'!#REF!</definedName>
    <definedName name="MS" localSheetId="16">'[1]301-KPR'!#REF!</definedName>
    <definedName name="MS" localSheetId="4">'[1]301-KPR'!#REF!</definedName>
    <definedName name="MS" localSheetId="15">'[1]301-KPR'!#REF!</definedName>
    <definedName name="MS" localSheetId="0">'[1]301-KPR'!#REF!</definedName>
    <definedName name="MS">'[1]301-KPR'!#REF!</definedName>
    <definedName name="MSMT" localSheetId="18">'[1]301-KPR'!#REF!</definedName>
    <definedName name="MSMT" localSheetId="1">'[1]301-KPR'!#REF!</definedName>
    <definedName name="MSMT" localSheetId="17">'[1]301-KPR'!#REF!</definedName>
    <definedName name="MSMT" localSheetId="3">'[1]301-KPR'!#REF!</definedName>
    <definedName name="MSMT" localSheetId="9">'[1]301-KPR'!#REF!</definedName>
    <definedName name="MSMT" localSheetId="10">'[1]301-KPR'!#REF!</definedName>
    <definedName name="MSMT" localSheetId="11">'[1]301-KPR'!#REF!</definedName>
    <definedName name="MSMT" localSheetId="12">'[1]301-KPR'!#REF!</definedName>
    <definedName name="MSMT" localSheetId="13">'[1]301-KPR'!#REF!</definedName>
    <definedName name="MSMT" localSheetId="14">'[1]301-KPR'!#REF!</definedName>
    <definedName name="MSMT" localSheetId="16">'[1]301-KPR'!#REF!</definedName>
    <definedName name="MSMT" localSheetId="4">'[1]301-KPR'!#REF!</definedName>
    <definedName name="MSMT" localSheetId="15">'[1]301-KPR'!#REF!</definedName>
    <definedName name="MSMT" localSheetId="0">'[1]301-KPR'!#REF!</definedName>
    <definedName name="MSMT">'[1]301-KPR'!#REF!</definedName>
    <definedName name="MSMT1" localSheetId="3">'[1]301-KPR'!#REF!</definedName>
    <definedName name="MSMT1">'[1]301-KPR'!#REF!</definedName>
    <definedName name="MV" localSheetId="3">#REF!</definedName>
    <definedName name="MV">#REF!</definedName>
    <definedName name="MZdr" localSheetId="18">'[1]301-KPR'!#REF!</definedName>
    <definedName name="MZdr" localSheetId="1">'[1]301-KPR'!#REF!</definedName>
    <definedName name="MZdr" localSheetId="17">'[1]301-KPR'!#REF!</definedName>
    <definedName name="MZdr" localSheetId="3">'[1]301-KPR'!#REF!</definedName>
    <definedName name="MZdr" localSheetId="9">'[1]301-KPR'!#REF!</definedName>
    <definedName name="MZdr" localSheetId="10">'[1]301-KPR'!#REF!</definedName>
    <definedName name="MZdr" localSheetId="11">'[1]301-KPR'!#REF!</definedName>
    <definedName name="MZdr" localSheetId="12">'[1]301-KPR'!#REF!</definedName>
    <definedName name="MZdr" localSheetId="13">'[1]301-KPR'!#REF!</definedName>
    <definedName name="MZdr" localSheetId="14">'[1]301-KPR'!#REF!</definedName>
    <definedName name="MZdr" localSheetId="16">'[1]301-KPR'!#REF!</definedName>
    <definedName name="MZdr" localSheetId="4">'[1]301-KPR'!#REF!</definedName>
    <definedName name="MZdr" localSheetId="15">'[1]301-KPR'!#REF!</definedName>
    <definedName name="MZdr" localSheetId="0">'[1]301-KPR'!#REF!</definedName>
    <definedName name="MZdr">'[1]301-KPR'!#REF!</definedName>
    <definedName name="MZe" localSheetId="18">'[1]301-KPR'!#REF!</definedName>
    <definedName name="MZe" localSheetId="1">'[1]301-KPR'!#REF!</definedName>
    <definedName name="MZe" localSheetId="17">'[1]301-KPR'!#REF!</definedName>
    <definedName name="MZe" localSheetId="3">'[1]301-KPR'!#REF!</definedName>
    <definedName name="MZe" localSheetId="9">'[1]301-KPR'!#REF!</definedName>
    <definedName name="MZe" localSheetId="10">'[1]301-KPR'!#REF!</definedName>
    <definedName name="MZe" localSheetId="11">'[1]301-KPR'!#REF!</definedName>
    <definedName name="MZe" localSheetId="12">'[1]301-KPR'!#REF!</definedName>
    <definedName name="MZe" localSheetId="13">'[1]301-KPR'!#REF!</definedName>
    <definedName name="MZe" localSheetId="14">'[1]301-KPR'!#REF!</definedName>
    <definedName name="MZe" localSheetId="16">'[1]301-KPR'!#REF!</definedName>
    <definedName name="MZe" localSheetId="4">'[1]301-KPR'!#REF!</definedName>
    <definedName name="MZe" localSheetId="15">'[1]301-KPR'!#REF!</definedName>
    <definedName name="MZe" localSheetId="0">'[1]301-KPR'!#REF!</definedName>
    <definedName name="MZe">'[1]301-KPR'!#REF!</definedName>
    <definedName name="MZP" localSheetId="3">#REF!</definedName>
    <definedName name="MZP">#REF!</definedName>
    <definedName name="MZv" localSheetId="3">#REF!</definedName>
    <definedName name="MZv">#REF!</definedName>
    <definedName name="Násobit">!XFC1*!XFD1</definedName>
    <definedName name="_xlnm.Print_Titles" localSheetId="2">'Tab. 1 bilance'!$1:$8</definedName>
    <definedName name="_xlnm.Print_Titles" localSheetId="11">'Tab. 9a OSS MV'!$1:$11</definedName>
    <definedName name="_xlnm.Print_Titles" localSheetId="4">'TaB.3 platy'!$A:$A</definedName>
    <definedName name="NKU" localSheetId="18">'[1]301-KPR'!#REF!</definedName>
    <definedName name="NKU" localSheetId="1">'[1]301-KPR'!#REF!</definedName>
    <definedName name="NKU" localSheetId="17">'[1]301-KPR'!#REF!</definedName>
    <definedName name="NKU" localSheetId="3">'[1]301-KPR'!#REF!</definedName>
    <definedName name="NKU" localSheetId="9">'[1]301-KPR'!#REF!</definedName>
    <definedName name="NKU" localSheetId="10">'[1]301-KPR'!#REF!</definedName>
    <definedName name="NKU" localSheetId="11">'[1]301-KPR'!#REF!</definedName>
    <definedName name="NKU" localSheetId="12">'[1]301-KPR'!#REF!</definedName>
    <definedName name="NKU" localSheetId="13">'[1]301-KPR'!#REF!</definedName>
    <definedName name="NKU" localSheetId="14">'[1]301-KPR'!#REF!</definedName>
    <definedName name="NKU" localSheetId="16">'[1]301-KPR'!#REF!</definedName>
    <definedName name="NKU" localSheetId="4">'[1]301-KPR'!#REF!</definedName>
    <definedName name="NKU" localSheetId="15">'[1]301-KPR'!#REF!</definedName>
    <definedName name="NKU" localSheetId="0">'[1]301-KPR'!#REF!</definedName>
    <definedName name="NKU">'[1]301-KPR'!#REF!</definedName>
    <definedName name="obdobi" localSheetId="3">#REF!</definedName>
    <definedName name="obdobi">#REF!</definedName>
    <definedName name="_xlnm.Print_Area" localSheetId="2">'Tab. 1 bilance'!$A$1:$K$297</definedName>
    <definedName name="_xlnm.Print_Area" localSheetId="17">'Tab. 10 EU příjmy'!$B$1:$I$50</definedName>
    <definedName name="_xlnm.Print_Area" localSheetId="6">'Tab. 5 výdaje kraje'!$B:$H</definedName>
    <definedName name="_xlnm.Print_Area" localSheetId="9">'Tab. 8 - EU'!$A$1:$O$91</definedName>
    <definedName name="_xlnm.Print_Area" localSheetId="5">'Tab.4 v+v'!$A$1:$P$115</definedName>
    <definedName name="pol" localSheetId="3">#REF!</definedName>
    <definedName name="pol">#REF!</definedName>
    <definedName name="Poz_Boris" localSheetId="3">'[1]SOUHRN 314'!#REF!</definedName>
    <definedName name="Poz_Boris">'[1]SOUHRN 314'!#REF!</definedName>
    <definedName name="Přijmy" localSheetId="3">#REF!</definedName>
    <definedName name="Přijmy">#REF!</definedName>
    <definedName name="PSCS" localSheetId="3">'[3]301-KPR'!#REF!</definedName>
    <definedName name="PSCS">'[3]301-KPR'!#REF!</definedName>
    <definedName name="PSP" localSheetId="3">#REF!</definedName>
    <definedName name="PSP">#REF!</definedName>
    <definedName name="RRTV" localSheetId="18">'[1]301-KPR'!#REF!</definedName>
    <definedName name="RRTV" localSheetId="1">'[1]301-KPR'!#REF!</definedName>
    <definedName name="RRTV" localSheetId="17">'[1]301-KPR'!#REF!</definedName>
    <definedName name="RRTV" localSheetId="3">'[1]301-KPR'!#REF!</definedName>
    <definedName name="RRTV" localSheetId="9">'[1]301-KPR'!#REF!</definedName>
    <definedName name="RRTV" localSheetId="10">'[1]301-KPR'!#REF!</definedName>
    <definedName name="RRTV" localSheetId="11">'[1]301-KPR'!#REF!</definedName>
    <definedName name="RRTV" localSheetId="12">'[1]301-KPR'!#REF!</definedName>
    <definedName name="RRTV" localSheetId="13">'[1]301-KPR'!#REF!</definedName>
    <definedName name="RRTV" localSheetId="14">'[1]301-KPR'!#REF!</definedName>
    <definedName name="RRTV" localSheetId="16">'[1]301-KPR'!#REF!</definedName>
    <definedName name="RRTV" localSheetId="4">'[1]301-KPR'!#REF!</definedName>
    <definedName name="RRTV" localSheetId="15">'[1]301-KPR'!#REF!</definedName>
    <definedName name="RRTV" localSheetId="0">'[1]301-KPR'!#REF!</definedName>
    <definedName name="RRTV">'[1]301-KPR'!#REF!</definedName>
    <definedName name="s" localSheetId="3">'[1]SOUHRN 314'!#REF!</definedName>
    <definedName name="s">'[1]SOUHRN 314'!#REF!</definedName>
    <definedName name="SAPBEXhrIndnt" hidden="1">"Wide"</definedName>
    <definedName name="SAPsysID" hidden="1">"708C5W7SBKP804JT78WJ0JNKI"</definedName>
    <definedName name="SAPwbID" hidden="1">"ARS"</definedName>
    <definedName name="SD" localSheetId="3">#REF!</definedName>
    <definedName name="SD">#REF!</definedName>
    <definedName name="SP" localSheetId="3">#REF!</definedName>
    <definedName name="SP">#REF!</definedName>
    <definedName name="ss" localSheetId="3">#REF!</definedName>
    <definedName name="ss">#REF!</definedName>
    <definedName name="SSHR" localSheetId="18">'[1]301-KPR'!#REF!</definedName>
    <definedName name="SSHR" localSheetId="1">'[1]301-KPR'!#REF!</definedName>
    <definedName name="SSHR" localSheetId="17">'[1]301-KPR'!#REF!</definedName>
    <definedName name="SSHR" localSheetId="3">'[1]301-KPR'!#REF!</definedName>
    <definedName name="SSHR" localSheetId="9">'[1]301-KPR'!#REF!</definedName>
    <definedName name="SSHR" localSheetId="10">'[1]301-KPR'!#REF!</definedName>
    <definedName name="SSHR" localSheetId="11">'[1]301-KPR'!#REF!</definedName>
    <definedName name="SSHR" localSheetId="12">'[1]301-KPR'!#REF!</definedName>
    <definedName name="SSHR" localSheetId="13">'[1]301-KPR'!#REF!</definedName>
    <definedName name="SSHR" localSheetId="14">'[1]301-KPR'!#REF!</definedName>
    <definedName name="SSHR" localSheetId="16">'[1]301-KPR'!#REF!</definedName>
    <definedName name="SSHR" localSheetId="4">'[1]301-KPR'!#REF!</definedName>
    <definedName name="SSHR" localSheetId="15">'[1]301-KPR'!#REF!</definedName>
    <definedName name="SSHR" localSheetId="0">'[1]301-KPR'!#REF!</definedName>
    <definedName name="SSHR">'[1]301-KPR'!#REF!</definedName>
    <definedName name="SUJB" localSheetId="18">'[1]301-KPR'!#REF!</definedName>
    <definedName name="SUJB" localSheetId="1">'[1]301-KPR'!#REF!</definedName>
    <definedName name="SUJB" localSheetId="17">'[1]301-KPR'!#REF!</definedName>
    <definedName name="SUJB" localSheetId="3">'[1]301-KPR'!#REF!</definedName>
    <definedName name="SUJB" localSheetId="9">'[1]301-KPR'!#REF!</definedName>
    <definedName name="SUJB" localSheetId="10">'[1]301-KPR'!#REF!</definedName>
    <definedName name="SUJB" localSheetId="11">'[1]301-KPR'!#REF!</definedName>
    <definedName name="SUJB" localSheetId="12">'[1]301-KPR'!#REF!</definedName>
    <definedName name="SUJB" localSheetId="13">'[1]301-KPR'!#REF!</definedName>
    <definedName name="SUJB" localSheetId="14">'[1]301-KPR'!#REF!</definedName>
    <definedName name="SUJB" localSheetId="16">'[1]301-KPR'!#REF!</definedName>
    <definedName name="SUJB" localSheetId="4">'[1]301-KPR'!#REF!</definedName>
    <definedName name="SUJB" localSheetId="15">'[1]301-KPR'!#REF!</definedName>
    <definedName name="SUJB" localSheetId="0">'[1]301-KPR'!#REF!</definedName>
    <definedName name="SUJB">'[1]301-KPR'!#REF!</definedName>
    <definedName name="Tabulka" localSheetId="3">'[1]SOUHRN 314'!#REF!</definedName>
    <definedName name="Tabulka">'[1]SOUHRN 314'!#REF!</definedName>
    <definedName name="TABULKA_1">#N/A</definedName>
    <definedName name="TABULKA_2">#N/A</definedName>
    <definedName name="TEST0" localSheetId="3">#REF!</definedName>
    <definedName name="TEST0">#REF!</definedName>
    <definedName name="test01" localSheetId="3">#REF!</definedName>
    <definedName name="test01">#REF!</definedName>
    <definedName name="TESTHKEY" localSheetId="3">#REF!</definedName>
    <definedName name="TESTHKEY">#REF!</definedName>
    <definedName name="TESTKEYS">#REF!</definedName>
    <definedName name="TESTVKEY">#REF!</definedName>
    <definedName name="UOHS" localSheetId="18">'[1]301-KPR'!#REF!</definedName>
    <definedName name="UOHS" localSheetId="1">'[1]301-KPR'!#REF!</definedName>
    <definedName name="UOHS" localSheetId="17">'[1]301-KPR'!#REF!</definedName>
    <definedName name="UOHS" localSheetId="3">'[1]301-KPR'!#REF!</definedName>
    <definedName name="UOHS" localSheetId="9">'[1]301-KPR'!#REF!</definedName>
    <definedName name="UOHS" localSheetId="10">'[1]301-KPR'!#REF!</definedName>
    <definedName name="UOHS" localSheetId="11">'[1]301-KPR'!#REF!</definedName>
    <definedName name="UOHS" localSheetId="12">'[1]301-KPR'!#REF!</definedName>
    <definedName name="UOHS" localSheetId="13">'[1]301-KPR'!#REF!</definedName>
    <definedName name="UOHS" localSheetId="14">'[1]301-KPR'!#REF!</definedName>
    <definedName name="UOHS" localSheetId="16">'[1]301-KPR'!#REF!</definedName>
    <definedName name="UOHS" localSheetId="4">'[1]301-KPR'!#REF!</definedName>
    <definedName name="UOHS" localSheetId="15">'[1]301-KPR'!#REF!</definedName>
    <definedName name="UOHS" localSheetId="0">'[1]301-KPR'!#REF!</definedName>
    <definedName name="UOHS">'[1]301-KPR'!#REF!</definedName>
    <definedName name="UPV" localSheetId="18">'[1]301-KPR'!#REF!</definedName>
    <definedName name="UPV" localSheetId="1">'[1]301-KPR'!#REF!</definedName>
    <definedName name="UPV" localSheetId="17">'[1]301-KPR'!#REF!</definedName>
    <definedName name="UPV" localSheetId="3">'[1]301-KPR'!#REF!</definedName>
    <definedName name="UPV" localSheetId="9">'[1]301-KPR'!#REF!</definedName>
    <definedName name="UPV" localSheetId="10">'[1]301-KPR'!#REF!</definedName>
    <definedName name="UPV" localSheetId="11">'[1]301-KPR'!#REF!</definedName>
    <definedName name="UPV" localSheetId="12">'[1]301-KPR'!#REF!</definedName>
    <definedName name="UPV" localSheetId="13">'[1]301-KPR'!#REF!</definedName>
    <definedName name="UPV" localSheetId="14">'[1]301-KPR'!#REF!</definedName>
    <definedName name="UPV" localSheetId="16">'[1]301-KPR'!#REF!</definedName>
    <definedName name="UPV" localSheetId="4">'[1]301-KPR'!#REF!</definedName>
    <definedName name="UPV" localSheetId="15">'[1]301-KPR'!#REF!</definedName>
    <definedName name="UPV" localSheetId="0">'[1]301-KPR'!#REF!</definedName>
    <definedName name="UPV">'[1]301-KPR'!#REF!</definedName>
    <definedName name="úroky" localSheetId="3">#REF!</definedName>
    <definedName name="úroky">#REF!</definedName>
    <definedName name="US" localSheetId="18">'[1]301-KPR'!#REF!</definedName>
    <definedName name="US" localSheetId="1">'[1]301-KPR'!#REF!</definedName>
    <definedName name="US" localSheetId="17">'[1]301-KPR'!#REF!</definedName>
    <definedName name="US" localSheetId="3">'[1]301-KPR'!#REF!</definedName>
    <definedName name="US" localSheetId="9">'[1]301-KPR'!#REF!</definedName>
    <definedName name="US" localSheetId="10">'[1]301-KPR'!#REF!</definedName>
    <definedName name="US" localSheetId="11">'[1]301-KPR'!#REF!</definedName>
    <definedName name="US" localSheetId="12">'[1]301-KPR'!#REF!</definedName>
    <definedName name="US" localSheetId="13">'[1]301-KPR'!#REF!</definedName>
    <definedName name="US" localSheetId="14">'[1]301-KPR'!#REF!</definedName>
    <definedName name="US" localSheetId="16">'[1]301-KPR'!#REF!</definedName>
    <definedName name="US" localSheetId="4">'[1]301-KPR'!#REF!</definedName>
    <definedName name="US" localSheetId="15">'[1]301-KPR'!#REF!</definedName>
    <definedName name="US" localSheetId="0">'[1]301-KPR'!#REF!</definedName>
    <definedName name="US">'[1]301-KPR'!#REF!</definedName>
    <definedName name="USIS" localSheetId="18">'[1]301-KPR'!#REF!</definedName>
    <definedName name="USIS" localSheetId="1">'[1]301-KPR'!#REF!</definedName>
    <definedName name="USIS" localSheetId="17">'[1]301-KPR'!#REF!</definedName>
    <definedName name="USIS" localSheetId="3">'[1]301-KPR'!#REF!</definedName>
    <definedName name="USIS" localSheetId="9">'[1]301-KPR'!#REF!</definedName>
    <definedName name="USIS" localSheetId="10">'[1]301-KPR'!#REF!</definedName>
    <definedName name="USIS" localSheetId="11">'[1]301-KPR'!#REF!</definedName>
    <definedName name="USIS" localSheetId="12">'[1]301-KPR'!#REF!</definedName>
    <definedName name="USIS" localSheetId="13">'[1]301-KPR'!#REF!</definedName>
    <definedName name="USIS" localSheetId="14">'[1]301-KPR'!#REF!</definedName>
    <definedName name="USIS" localSheetId="16">'[1]301-KPR'!#REF!</definedName>
    <definedName name="USIS" localSheetId="4">'[1]301-KPR'!#REF!</definedName>
    <definedName name="USIS" localSheetId="15">'[1]301-KPR'!#REF!</definedName>
    <definedName name="USIS" localSheetId="0">'[1]301-KPR'!#REF!</definedName>
    <definedName name="USIS">'[1]301-KPR'!#REF!</definedName>
    <definedName name="UV" localSheetId="3">#REF!</definedName>
    <definedName name="UV">#REF!</definedName>
    <definedName name="VSTUPY_1">#N/A</definedName>
    <definedName name="VSTUPY_2">#N/A</definedName>
    <definedName name="Výdaje" localSheetId="3">#REF!</definedName>
    <definedName name="Výdaje">#REF!</definedName>
    <definedName name="Zisk" localSheetId="3">#REF!</definedName>
    <definedName name="Zisk">#REF!</definedName>
  </definedNames>
  <calcPr calcId="145621"/>
</workbook>
</file>

<file path=xl/calcChain.xml><?xml version="1.0" encoding="utf-8"?>
<calcChain xmlns="http://schemas.openxmlformats.org/spreadsheetml/2006/main">
  <c r="N23" i="17778" l="1"/>
  <c r="F23" i="17778"/>
  <c r="P22" i="17778"/>
  <c r="O22" i="17778"/>
  <c r="N22" i="17778"/>
  <c r="L22" i="17778"/>
  <c r="K22" i="17778"/>
  <c r="J22" i="17778"/>
  <c r="H22" i="17778"/>
  <c r="G22" i="17778"/>
  <c r="F22" i="17778"/>
  <c r="S21" i="17778"/>
  <c r="Q21" i="17778"/>
  <c r="P21" i="17778"/>
  <c r="O21" i="17778"/>
  <c r="N21" i="17778"/>
  <c r="L21" i="17778"/>
  <c r="K21" i="17778"/>
  <c r="H21" i="17778"/>
  <c r="G21" i="17778"/>
  <c r="F21" i="17778"/>
  <c r="P20" i="17778"/>
  <c r="O20" i="17778"/>
  <c r="N20" i="17778"/>
  <c r="L20" i="17778"/>
  <c r="K20" i="17778"/>
  <c r="J20" i="17778"/>
  <c r="H20" i="17778"/>
  <c r="G20" i="17778"/>
  <c r="F20" i="17778"/>
  <c r="P19" i="17778"/>
  <c r="O19" i="17778"/>
  <c r="Q19" i="17778" s="1"/>
  <c r="N19" i="17778"/>
  <c r="L19" i="17778"/>
  <c r="T19" i="17778" s="1"/>
  <c r="K19" i="17778"/>
  <c r="M19" i="17778" s="1"/>
  <c r="J19" i="17778"/>
  <c r="R19" i="17778" s="1"/>
  <c r="H19" i="17778"/>
  <c r="G19" i="17778"/>
  <c r="I19" i="17778" s="1"/>
  <c r="F19" i="17778"/>
  <c r="T18" i="17778"/>
  <c r="S18" i="17778"/>
  <c r="R18" i="17778"/>
  <c r="Q18" i="17778"/>
  <c r="U18" i="17778" s="1"/>
  <c r="M18" i="17778"/>
  <c r="I18" i="17778"/>
  <c r="T17" i="17778"/>
  <c r="S17" i="17778"/>
  <c r="R17" i="17778"/>
  <c r="Q17" i="17778"/>
  <c r="M17" i="17778"/>
  <c r="U17" i="17778" s="1"/>
  <c r="I17" i="17778"/>
  <c r="D17" i="17778"/>
  <c r="T16" i="17778"/>
  <c r="S16" i="17778"/>
  <c r="R16" i="17778"/>
  <c r="R20" i="17778" s="1"/>
  <c r="Q16" i="17778"/>
  <c r="M16" i="17778"/>
  <c r="U16" i="17778" s="1"/>
  <c r="I16" i="17778"/>
  <c r="Q15" i="17778"/>
  <c r="P15" i="17778"/>
  <c r="P23" i="17778" s="1"/>
  <c r="O15" i="17778"/>
  <c r="O23" i="17778" s="1"/>
  <c r="N15" i="17778"/>
  <c r="L15" i="17778"/>
  <c r="T15" i="17778" s="1"/>
  <c r="K15" i="17778"/>
  <c r="S15" i="17778" s="1"/>
  <c r="I15" i="17778"/>
  <c r="H15" i="17778"/>
  <c r="H23" i="17778" s="1"/>
  <c r="G15" i="17778"/>
  <c r="G23" i="17778" s="1"/>
  <c r="F15" i="17778"/>
  <c r="T14" i="17778"/>
  <c r="T22" i="17778" s="1"/>
  <c r="S14" i="17778"/>
  <c r="S22" i="17778" s="1"/>
  <c r="R14" i="17778"/>
  <c r="R22" i="17778" s="1"/>
  <c r="Q14" i="17778"/>
  <c r="Q22" i="17778" s="1"/>
  <c r="M14" i="17778"/>
  <c r="M22" i="17778" s="1"/>
  <c r="I14" i="17778"/>
  <c r="I22" i="17778" s="1"/>
  <c r="T13" i="17778"/>
  <c r="T21" i="17778" s="1"/>
  <c r="S13" i="17778"/>
  <c r="R13" i="17778"/>
  <c r="R21" i="17778" s="1"/>
  <c r="Q13" i="17778"/>
  <c r="M13" i="17778"/>
  <c r="M21" i="17778" s="1"/>
  <c r="J13" i="17778"/>
  <c r="J21" i="17778" s="1"/>
  <c r="I13" i="17778"/>
  <c r="I21" i="17778" s="1"/>
  <c r="T12" i="17778"/>
  <c r="T20" i="17778" s="1"/>
  <c r="S12" i="17778"/>
  <c r="S20" i="17778" s="1"/>
  <c r="R12" i="17778"/>
  <c r="Q12" i="17778"/>
  <c r="Q20" i="17778" s="1"/>
  <c r="M12" i="17778"/>
  <c r="I12" i="17778"/>
  <c r="I20" i="17778" s="1"/>
  <c r="O22" i="17777"/>
  <c r="N22" i="17777"/>
  <c r="K22" i="17777"/>
  <c r="J22" i="17777"/>
  <c r="H22" i="17777"/>
  <c r="G22" i="17777"/>
  <c r="F22" i="17777"/>
  <c r="T21" i="17777"/>
  <c r="P21" i="17777"/>
  <c r="O21" i="17777"/>
  <c r="N21" i="17777"/>
  <c r="L21" i="17777"/>
  <c r="K21" i="17777"/>
  <c r="J21" i="17777"/>
  <c r="H21" i="17777"/>
  <c r="G21" i="17777"/>
  <c r="F21" i="17777"/>
  <c r="T20" i="17777"/>
  <c r="R20" i="17777"/>
  <c r="P20" i="17777"/>
  <c r="O20" i="17777"/>
  <c r="N20" i="17777"/>
  <c r="L20" i="17777"/>
  <c r="K20" i="17777"/>
  <c r="J20" i="17777"/>
  <c r="H20" i="17777"/>
  <c r="G20" i="17777"/>
  <c r="F20" i="17777"/>
  <c r="O19" i="17777"/>
  <c r="O23" i="17777" s="1"/>
  <c r="N19" i="17777"/>
  <c r="N23" i="17777" s="1"/>
  <c r="L19" i="17777"/>
  <c r="L23" i="17777" s="1"/>
  <c r="K19" i="17777"/>
  <c r="K23" i="17777" s="1"/>
  <c r="J19" i="17777"/>
  <c r="J23" i="17777" s="1"/>
  <c r="H19" i="17777"/>
  <c r="H23" i="17777" s="1"/>
  <c r="G19" i="17777"/>
  <c r="G23" i="17777" s="1"/>
  <c r="F19" i="17777"/>
  <c r="F23" i="17777" s="1"/>
  <c r="S18" i="17777"/>
  <c r="S22" i="17777" s="1"/>
  <c r="R18" i="17777"/>
  <c r="R22" i="17777" s="1"/>
  <c r="P18" i="17777"/>
  <c r="Q18" i="17777" s="1"/>
  <c r="Q22" i="17777" s="1"/>
  <c r="L18" i="17777"/>
  <c r="M18" i="17777" s="1"/>
  <c r="I18" i="17777"/>
  <c r="I22" i="17777" s="1"/>
  <c r="T17" i="17777"/>
  <c r="S17" i="17777"/>
  <c r="S21" i="17777" s="1"/>
  <c r="Q17" i="17777"/>
  <c r="Q21" i="17777" s="1"/>
  <c r="N17" i="17777"/>
  <c r="M17" i="17777"/>
  <c r="M21" i="17777" s="1"/>
  <c r="J17" i="17777"/>
  <c r="R17" i="17777" s="1"/>
  <c r="I17" i="17777"/>
  <c r="I21" i="17777" s="1"/>
  <c r="T16" i="17777"/>
  <c r="S16" i="17777"/>
  <c r="S20" i="17777" s="1"/>
  <c r="R16" i="17777"/>
  <c r="Q16" i="17777"/>
  <c r="U16" i="17777" s="1"/>
  <c r="U20" i="17777" s="1"/>
  <c r="M16" i="17777"/>
  <c r="M20" i="17777" s="1"/>
  <c r="I16" i="17777"/>
  <c r="I20" i="17777" s="1"/>
  <c r="P22" i="17776"/>
  <c r="O22" i="17776"/>
  <c r="N22" i="17776"/>
  <c r="L22" i="17776"/>
  <c r="K22" i="17776"/>
  <c r="J22" i="17776"/>
  <c r="H22" i="17776"/>
  <c r="G22" i="17776"/>
  <c r="F22" i="17776"/>
  <c r="T21" i="17776"/>
  <c r="R21" i="17776"/>
  <c r="P21" i="17776"/>
  <c r="O21" i="17776"/>
  <c r="N21" i="17776"/>
  <c r="L21" i="17776"/>
  <c r="K21" i="17776"/>
  <c r="J21" i="17776"/>
  <c r="H21" i="17776"/>
  <c r="G21" i="17776"/>
  <c r="F21" i="17776"/>
  <c r="T20" i="17776"/>
  <c r="R20" i="17776"/>
  <c r="P20" i="17776"/>
  <c r="O20" i="17776"/>
  <c r="N20" i="17776"/>
  <c r="L20" i="17776"/>
  <c r="K20" i="17776"/>
  <c r="J20" i="17776"/>
  <c r="H20" i="17776"/>
  <c r="G20" i="17776"/>
  <c r="F20" i="17776"/>
  <c r="P19" i="17776"/>
  <c r="P23" i="17776" s="1"/>
  <c r="O19" i="17776"/>
  <c r="O23" i="17776" s="1"/>
  <c r="N19" i="17776"/>
  <c r="Q19" i="17776" s="1"/>
  <c r="Q23" i="17776" s="1"/>
  <c r="L19" i="17776"/>
  <c r="L23" i="17776" s="1"/>
  <c r="K19" i="17776"/>
  <c r="K23" i="17776" s="1"/>
  <c r="J19" i="17776"/>
  <c r="M19" i="17776" s="1"/>
  <c r="H19" i="17776"/>
  <c r="H23" i="17776" s="1"/>
  <c r="G19" i="17776"/>
  <c r="G23" i="17776" s="1"/>
  <c r="F19" i="17776"/>
  <c r="I19" i="17776" s="1"/>
  <c r="I23" i="17776" s="1"/>
  <c r="T18" i="17776"/>
  <c r="T22" i="17776" s="1"/>
  <c r="S18" i="17776"/>
  <c r="S22" i="17776" s="1"/>
  <c r="R18" i="17776"/>
  <c r="R22" i="17776" s="1"/>
  <c r="Q18" i="17776"/>
  <c r="Q22" i="17776" s="1"/>
  <c r="M18" i="17776"/>
  <c r="M22" i="17776" s="1"/>
  <c r="I18" i="17776"/>
  <c r="I22" i="17776" s="1"/>
  <c r="T17" i="17776"/>
  <c r="S17" i="17776"/>
  <c r="S21" i="17776" s="1"/>
  <c r="R17" i="17776"/>
  <c r="Q17" i="17776"/>
  <c r="Q21" i="17776" s="1"/>
  <c r="M17" i="17776"/>
  <c r="M21" i="17776" s="1"/>
  <c r="I17" i="17776"/>
  <c r="I21" i="17776" s="1"/>
  <c r="T16" i="17776"/>
  <c r="S16" i="17776"/>
  <c r="S20" i="17776" s="1"/>
  <c r="R16" i="17776"/>
  <c r="Q16" i="17776"/>
  <c r="Q20" i="17776" s="1"/>
  <c r="M16" i="17776"/>
  <c r="M20" i="17776" s="1"/>
  <c r="I16" i="17776"/>
  <c r="I20" i="17776" s="1"/>
  <c r="P22" i="17775"/>
  <c r="O22" i="17775"/>
  <c r="N22" i="17775"/>
  <c r="L22" i="17775"/>
  <c r="K22" i="17775"/>
  <c r="J22" i="17775"/>
  <c r="H22" i="17775"/>
  <c r="G22" i="17775"/>
  <c r="F22" i="17775"/>
  <c r="T21" i="17775"/>
  <c r="R21" i="17775"/>
  <c r="P21" i="17775"/>
  <c r="O21" i="17775"/>
  <c r="N21" i="17775"/>
  <c r="L21" i="17775"/>
  <c r="K21" i="17775"/>
  <c r="J21" i="17775"/>
  <c r="H21" i="17775"/>
  <c r="G21" i="17775"/>
  <c r="F21" i="17775"/>
  <c r="P20" i="17775"/>
  <c r="O20" i="17775"/>
  <c r="N20" i="17775"/>
  <c r="L20" i="17775"/>
  <c r="K20" i="17775"/>
  <c r="J20" i="17775"/>
  <c r="H20" i="17775"/>
  <c r="G20" i="17775"/>
  <c r="F20" i="17775"/>
  <c r="P19" i="17775"/>
  <c r="P23" i="17775" s="1"/>
  <c r="O19" i="17775"/>
  <c r="O23" i="17775" s="1"/>
  <c r="N19" i="17775"/>
  <c r="N23" i="17775" s="1"/>
  <c r="L19" i="17775"/>
  <c r="L23" i="17775" s="1"/>
  <c r="K19" i="17775"/>
  <c r="K23" i="17775" s="1"/>
  <c r="J19" i="17775"/>
  <c r="J23" i="17775" s="1"/>
  <c r="H19" i="17775"/>
  <c r="H23" i="17775" s="1"/>
  <c r="G19" i="17775"/>
  <c r="G23" i="17775" s="1"/>
  <c r="F19" i="17775"/>
  <c r="F23" i="17775" s="1"/>
  <c r="T18" i="17775"/>
  <c r="T22" i="17775" s="1"/>
  <c r="S18" i="17775"/>
  <c r="S22" i="17775" s="1"/>
  <c r="R18" i="17775"/>
  <c r="R22" i="17775" s="1"/>
  <c r="Q18" i="17775"/>
  <c r="Q22" i="17775" s="1"/>
  <c r="M18" i="17775"/>
  <c r="M22" i="17775" s="1"/>
  <c r="I18" i="17775"/>
  <c r="I22" i="17775" s="1"/>
  <c r="T17" i="17775"/>
  <c r="S17" i="17775"/>
  <c r="S21" i="17775" s="1"/>
  <c r="R17" i="17775"/>
  <c r="Q17" i="17775"/>
  <c r="U17" i="17775" s="1"/>
  <c r="U21" i="17775" s="1"/>
  <c r="M17" i="17775"/>
  <c r="M21" i="17775" s="1"/>
  <c r="I17" i="17775"/>
  <c r="I21" i="17775" s="1"/>
  <c r="T16" i="17775"/>
  <c r="T20" i="17775" s="1"/>
  <c r="S16" i="17775"/>
  <c r="S20" i="17775" s="1"/>
  <c r="R16" i="17775"/>
  <c r="R20" i="17775" s="1"/>
  <c r="Q16" i="17775"/>
  <c r="Q20" i="17775" s="1"/>
  <c r="M16" i="17775"/>
  <c r="U16" i="17775" s="1"/>
  <c r="U20" i="17775" s="1"/>
  <c r="I16" i="17775"/>
  <c r="I20" i="17775" s="1"/>
  <c r="P22" i="17774"/>
  <c r="O22" i="17774"/>
  <c r="N22" i="17774"/>
  <c r="L22" i="17774"/>
  <c r="K22" i="17774"/>
  <c r="J22" i="17774"/>
  <c r="H22" i="17774"/>
  <c r="G22" i="17774"/>
  <c r="F22" i="17774"/>
  <c r="T21" i="17774"/>
  <c r="R21" i="17774"/>
  <c r="P21" i="17774"/>
  <c r="O21" i="17774"/>
  <c r="N21" i="17774"/>
  <c r="L21" i="17774"/>
  <c r="K21" i="17774"/>
  <c r="J21" i="17774"/>
  <c r="H21" i="17774"/>
  <c r="G21" i="17774"/>
  <c r="F21" i="17774"/>
  <c r="P20" i="17774"/>
  <c r="O20" i="17774"/>
  <c r="N20" i="17774"/>
  <c r="M20" i="17774"/>
  <c r="L20" i="17774"/>
  <c r="K20" i="17774"/>
  <c r="J20" i="17774"/>
  <c r="H20" i="17774"/>
  <c r="G20" i="17774"/>
  <c r="F20" i="17774"/>
  <c r="P19" i="17774"/>
  <c r="P23" i="17774" s="1"/>
  <c r="O19" i="17774"/>
  <c r="O23" i="17774" s="1"/>
  <c r="N19" i="17774"/>
  <c r="N23" i="17774" s="1"/>
  <c r="L19" i="17774"/>
  <c r="L23" i="17774" s="1"/>
  <c r="K19" i="17774"/>
  <c r="K23" i="17774" s="1"/>
  <c r="J19" i="17774"/>
  <c r="R19" i="17774" s="1"/>
  <c r="H19" i="17774"/>
  <c r="H23" i="17774" s="1"/>
  <c r="G19" i="17774"/>
  <c r="G23" i="17774" s="1"/>
  <c r="F19" i="17774"/>
  <c r="F23" i="17774" s="1"/>
  <c r="T18" i="17774"/>
  <c r="T22" i="17774" s="1"/>
  <c r="S18" i="17774"/>
  <c r="S22" i="17774" s="1"/>
  <c r="R18" i="17774"/>
  <c r="R22" i="17774" s="1"/>
  <c r="Q18" i="17774"/>
  <c r="Q22" i="17774" s="1"/>
  <c r="M18" i="17774"/>
  <c r="I18" i="17774"/>
  <c r="I22" i="17774" s="1"/>
  <c r="T17" i="17774"/>
  <c r="S17" i="17774"/>
  <c r="S21" i="17774" s="1"/>
  <c r="R17" i="17774"/>
  <c r="Q17" i="17774"/>
  <c r="Q21" i="17774" s="1"/>
  <c r="M17" i="17774"/>
  <c r="M21" i="17774" s="1"/>
  <c r="I17" i="17774"/>
  <c r="T16" i="17774"/>
  <c r="T20" i="17774" s="1"/>
  <c r="S16" i="17774"/>
  <c r="S20" i="17774" s="1"/>
  <c r="R16" i="17774"/>
  <c r="R20" i="17774" s="1"/>
  <c r="Q16" i="17774"/>
  <c r="Q20" i="17774" s="1"/>
  <c r="M16" i="17774"/>
  <c r="I16" i="17774"/>
  <c r="I20" i="17774" s="1"/>
  <c r="O62" i="17773"/>
  <c r="Q62" i="17773" s="1"/>
  <c r="N62" i="17773"/>
  <c r="K62" i="17773"/>
  <c r="J62" i="17773"/>
  <c r="R62" i="17773" s="1"/>
  <c r="H62" i="17773"/>
  <c r="G62" i="17773"/>
  <c r="I62" i="17773" s="1"/>
  <c r="F62" i="17773"/>
  <c r="P61" i="17773"/>
  <c r="O61" i="17773"/>
  <c r="L61" i="17773"/>
  <c r="T61" i="17773" s="1"/>
  <c r="K61" i="17773"/>
  <c r="S61" i="17773" s="1"/>
  <c r="G61" i="17773"/>
  <c r="P60" i="17773"/>
  <c r="O60" i="17773"/>
  <c r="L60" i="17773"/>
  <c r="T60" i="17773" s="1"/>
  <c r="K60" i="17773"/>
  <c r="S60" i="17773" s="1"/>
  <c r="H60" i="17773"/>
  <c r="G60" i="17773"/>
  <c r="O59" i="17773"/>
  <c r="N59" i="17773"/>
  <c r="M59" i="17773"/>
  <c r="L59" i="17773"/>
  <c r="K59" i="17773"/>
  <c r="J59" i="17773"/>
  <c r="I59" i="17773"/>
  <c r="H59" i="17773"/>
  <c r="G59" i="17773"/>
  <c r="F59" i="17773"/>
  <c r="S58" i="17773"/>
  <c r="R58" i="17773"/>
  <c r="Q58" i="17773"/>
  <c r="P58" i="17773"/>
  <c r="P59" i="17773" s="1"/>
  <c r="Q59" i="17773" s="1"/>
  <c r="M58" i="17773"/>
  <c r="L58" i="17773"/>
  <c r="I58" i="17773"/>
  <c r="T57" i="17773"/>
  <c r="S57" i="17773"/>
  <c r="R57" i="17773"/>
  <c r="U57" i="17773" s="1"/>
  <c r="Q57" i="17773"/>
  <c r="M57" i="17773"/>
  <c r="I57" i="17773"/>
  <c r="U56" i="17773"/>
  <c r="T56" i="17773"/>
  <c r="S56" i="17773"/>
  <c r="S59" i="17773" s="1"/>
  <c r="R56" i="17773"/>
  <c r="R59" i="17773" s="1"/>
  <c r="Q56" i="17773"/>
  <c r="M56" i="17773"/>
  <c r="I56" i="17773"/>
  <c r="P55" i="17773"/>
  <c r="O55" i="17773"/>
  <c r="N55" i="17773"/>
  <c r="Q55" i="17773" s="1"/>
  <c r="L55" i="17773"/>
  <c r="K55" i="17773"/>
  <c r="J55" i="17773"/>
  <c r="M55" i="17773" s="1"/>
  <c r="H55" i="17773"/>
  <c r="G55" i="17773"/>
  <c r="F55" i="17773"/>
  <c r="I55" i="17773" s="1"/>
  <c r="T54" i="17773"/>
  <c r="S54" i="17773"/>
  <c r="R54" i="17773"/>
  <c r="U54" i="17773" s="1"/>
  <c r="Q54" i="17773"/>
  <c r="M54" i="17773"/>
  <c r="I54" i="17773"/>
  <c r="T53" i="17773"/>
  <c r="S53" i="17773"/>
  <c r="S55" i="17773" s="1"/>
  <c r="R53" i="17773"/>
  <c r="Q53" i="17773"/>
  <c r="M53" i="17773"/>
  <c r="I53" i="17773"/>
  <c r="T52" i="17773"/>
  <c r="T55" i="17773" s="1"/>
  <c r="S52" i="17773"/>
  <c r="R52" i="17773"/>
  <c r="U52" i="17773" s="1"/>
  <c r="Q52" i="17773"/>
  <c r="M52" i="17773"/>
  <c r="I52" i="17773"/>
  <c r="Q51" i="17773"/>
  <c r="P51" i="17773"/>
  <c r="O51" i="17773"/>
  <c r="N51" i="17773"/>
  <c r="M51" i="17773"/>
  <c r="L51" i="17773"/>
  <c r="K51" i="17773"/>
  <c r="J51" i="17773"/>
  <c r="I51" i="17773"/>
  <c r="H51" i="17773"/>
  <c r="G51" i="17773"/>
  <c r="F51" i="17773"/>
  <c r="T50" i="17773"/>
  <c r="S50" i="17773"/>
  <c r="R50" i="17773"/>
  <c r="U50" i="17773" s="1"/>
  <c r="Q50" i="17773"/>
  <c r="M50" i="17773"/>
  <c r="I50" i="17773"/>
  <c r="U49" i="17773"/>
  <c r="T49" i="17773"/>
  <c r="S49" i="17773"/>
  <c r="R49" i="17773"/>
  <c r="Q49" i="17773"/>
  <c r="M49" i="17773"/>
  <c r="I49" i="17773"/>
  <c r="D49" i="17773" s="1"/>
  <c r="U48" i="17773"/>
  <c r="T48" i="17773"/>
  <c r="T51" i="17773" s="1"/>
  <c r="S48" i="17773"/>
  <c r="S51" i="17773" s="1"/>
  <c r="R48" i="17773"/>
  <c r="R51" i="17773" s="1"/>
  <c r="Q48" i="17773"/>
  <c r="M48" i="17773"/>
  <c r="I48" i="17773"/>
  <c r="D48" i="17773" s="1"/>
  <c r="Q47" i="17773"/>
  <c r="P47" i="17773"/>
  <c r="O47" i="17773"/>
  <c r="N47" i="17773"/>
  <c r="M47" i="17773"/>
  <c r="L47" i="17773"/>
  <c r="K47" i="17773"/>
  <c r="J47" i="17773"/>
  <c r="I47" i="17773"/>
  <c r="H47" i="17773"/>
  <c r="G47" i="17773"/>
  <c r="F47" i="17773"/>
  <c r="T46" i="17773"/>
  <c r="S46" i="17773"/>
  <c r="R46" i="17773"/>
  <c r="U46" i="17773" s="1"/>
  <c r="Q46" i="17773"/>
  <c r="M46" i="17773"/>
  <c r="I46" i="17773"/>
  <c r="U45" i="17773"/>
  <c r="T45" i="17773"/>
  <c r="S45" i="17773"/>
  <c r="R45" i="17773"/>
  <c r="Q45" i="17773"/>
  <c r="M45" i="17773"/>
  <c r="I45" i="17773"/>
  <c r="D45" i="17773" s="1"/>
  <c r="U44" i="17773"/>
  <c r="T44" i="17773"/>
  <c r="T47" i="17773" s="1"/>
  <c r="S44" i="17773"/>
  <c r="S47" i="17773" s="1"/>
  <c r="R44" i="17773"/>
  <c r="R47" i="17773" s="1"/>
  <c r="Q44" i="17773"/>
  <c r="M44" i="17773"/>
  <c r="I44" i="17773"/>
  <c r="D44" i="17773" s="1"/>
  <c r="O43" i="17773"/>
  <c r="N43" i="17773"/>
  <c r="M43" i="17773"/>
  <c r="L43" i="17773"/>
  <c r="K43" i="17773"/>
  <c r="J43" i="17773"/>
  <c r="I43" i="17773"/>
  <c r="H43" i="17773"/>
  <c r="G43" i="17773"/>
  <c r="F43" i="17773"/>
  <c r="S42" i="17773"/>
  <c r="R42" i="17773"/>
  <c r="Q42" i="17773"/>
  <c r="P42" i="17773"/>
  <c r="P43" i="17773" s="1"/>
  <c r="Q43" i="17773" s="1"/>
  <c r="M42" i="17773"/>
  <c r="L42" i="17773"/>
  <c r="I42" i="17773"/>
  <c r="T41" i="17773"/>
  <c r="S41" i="17773"/>
  <c r="R41" i="17773"/>
  <c r="U41" i="17773" s="1"/>
  <c r="Q41" i="17773"/>
  <c r="M41" i="17773"/>
  <c r="I41" i="17773"/>
  <c r="U40" i="17773"/>
  <c r="T40" i="17773"/>
  <c r="S40" i="17773"/>
  <c r="S43" i="17773" s="1"/>
  <c r="R40" i="17773"/>
  <c r="R43" i="17773" s="1"/>
  <c r="Q40" i="17773"/>
  <c r="M40" i="17773"/>
  <c r="I40" i="17773"/>
  <c r="P39" i="17773"/>
  <c r="O39" i="17773"/>
  <c r="N39" i="17773"/>
  <c r="Q39" i="17773" s="1"/>
  <c r="L39" i="17773"/>
  <c r="K39" i="17773"/>
  <c r="J39" i="17773"/>
  <c r="M39" i="17773" s="1"/>
  <c r="H39" i="17773"/>
  <c r="G39" i="17773"/>
  <c r="F39" i="17773"/>
  <c r="I39" i="17773" s="1"/>
  <c r="U38" i="17773"/>
  <c r="T38" i="17773"/>
  <c r="S38" i="17773"/>
  <c r="R38" i="17773"/>
  <c r="Q38" i="17773"/>
  <c r="M38" i="17773"/>
  <c r="I38" i="17773"/>
  <c r="T37" i="17773"/>
  <c r="S37" i="17773"/>
  <c r="R37" i="17773"/>
  <c r="U37" i="17773" s="1"/>
  <c r="Q37" i="17773"/>
  <c r="M37" i="17773"/>
  <c r="I37" i="17773"/>
  <c r="D37" i="17773"/>
  <c r="T36" i="17773"/>
  <c r="T39" i="17773" s="1"/>
  <c r="S36" i="17773"/>
  <c r="S39" i="17773" s="1"/>
  <c r="R36" i="17773"/>
  <c r="R39" i="17773" s="1"/>
  <c r="Q36" i="17773"/>
  <c r="M36" i="17773"/>
  <c r="I36" i="17773"/>
  <c r="D36" i="17773"/>
  <c r="P35" i="17773"/>
  <c r="O35" i="17773"/>
  <c r="N35" i="17773"/>
  <c r="Q35" i="17773" s="1"/>
  <c r="L35" i="17773"/>
  <c r="K35" i="17773"/>
  <c r="J35" i="17773"/>
  <c r="M35" i="17773" s="1"/>
  <c r="H35" i="17773"/>
  <c r="G35" i="17773"/>
  <c r="F35" i="17773"/>
  <c r="I35" i="17773" s="1"/>
  <c r="U34" i="17773"/>
  <c r="T34" i="17773"/>
  <c r="S34" i="17773"/>
  <c r="R34" i="17773"/>
  <c r="Q34" i="17773"/>
  <c r="M34" i="17773"/>
  <c r="I34" i="17773"/>
  <c r="T33" i="17773"/>
  <c r="S33" i="17773"/>
  <c r="R33" i="17773"/>
  <c r="U33" i="17773" s="1"/>
  <c r="Q33" i="17773"/>
  <c r="M33" i="17773"/>
  <c r="I33" i="17773"/>
  <c r="D33" i="17773"/>
  <c r="T32" i="17773"/>
  <c r="T35" i="17773" s="1"/>
  <c r="S32" i="17773"/>
  <c r="S35" i="17773" s="1"/>
  <c r="R32" i="17773"/>
  <c r="R35" i="17773" s="1"/>
  <c r="Q32" i="17773"/>
  <c r="M32" i="17773"/>
  <c r="I32" i="17773"/>
  <c r="D32" i="17773"/>
  <c r="P31" i="17773"/>
  <c r="O31" i="17773"/>
  <c r="L31" i="17773"/>
  <c r="K31" i="17773"/>
  <c r="G31" i="17773"/>
  <c r="F31" i="17773"/>
  <c r="U30" i="17773"/>
  <c r="T30" i="17773"/>
  <c r="S30" i="17773"/>
  <c r="R30" i="17773"/>
  <c r="Q30" i="17773"/>
  <c r="M30" i="17773"/>
  <c r="I30" i="17773"/>
  <c r="T29" i="17773"/>
  <c r="T31" i="17773" s="1"/>
  <c r="S29" i="17773"/>
  <c r="N29" i="17773"/>
  <c r="N31" i="17773" s="1"/>
  <c r="Q31" i="17773" s="1"/>
  <c r="J29" i="17773"/>
  <c r="M29" i="17773" s="1"/>
  <c r="H29" i="17773"/>
  <c r="H61" i="17773" s="1"/>
  <c r="T28" i="17773"/>
  <c r="S28" i="17773"/>
  <c r="S31" i="17773" s="1"/>
  <c r="R28" i="17773"/>
  <c r="Q28" i="17773"/>
  <c r="N28" i="17773"/>
  <c r="M28" i="17773"/>
  <c r="I28" i="17773"/>
  <c r="D28" i="17773"/>
  <c r="P27" i="17773"/>
  <c r="O27" i="17773"/>
  <c r="N27" i="17773"/>
  <c r="Q27" i="17773" s="1"/>
  <c r="L27" i="17773"/>
  <c r="K27" i="17773"/>
  <c r="J27" i="17773"/>
  <c r="M27" i="17773" s="1"/>
  <c r="H27" i="17773"/>
  <c r="G27" i="17773"/>
  <c r="F27" i="17773"/>
  <c r="I27" i="17773" s="1"/>
  <c r="U26" i="17773"/>
  <c r="T26" i="17773"/>
  <c r="S26" i="17773"/>
  <c r="R26" i="17773"/>
  <c r="Q26" i="17773"/>
  <c r="M26" i="17773"/>
  <c r="I26" i="17773"/>
  <c r="T25" i="17773"/>
  <c r="S25" i="17773"/>
  <c r="R25" i="17773"/>
  <c r="U25" i="17773" s="1"/>
  <c r="Q25" i="17773"/>
  <c r="M25" i="17773"/>
  <c r="I25" i="17773"/>
  <c r="D25" i="17773"/>
  <c r="T24" i="17773"/>
  <c r="T27" i="17773" s="1"/>
  <c r="S24" i="17773"/>
  <c r="S27" i="17773" s="1"/>
  <c r="R24" i="17773"/>
  <c r="R27" i="17773" s="1"/>
  <c r="Q24" i="17773"/>
  <c r="M24" i="17773"/>
  <c r="I24" i="17773"/>
  <c r="D24" i="17773"/>
  <c r="P23" i="17773"/>
  <c r="O23" i="17773"/>
  <c r="L23" i="17773"/>
  <c r="K23" i="17773"/>
  <c r="H23" i="17773"/>
  <c r="G23" i="17773"/>
  <c r="F23" i="17773"/>
  <c r="I23" i="17773" s="1"/>
  <c r="S22" i="17773"/>
  <c r="R22" i="17773"/>
  <c r="Q22" i="17773"/>
  <c r="P22" i="17773"/>
  <c r="P62" i="17773" s="1"/>
  <c r="M22" i="17773"/>
  <c r="L22" i="17773"/>
  <c r="L62" i="17773" s="1"/>
  <c r="M62" i="17773" s="1"/>
  <c r="U62" i="17773" s="1"/>
  <c r="I22" i="17773"/>
  <c r="T21" i="17773"/>
  <c r="S21" i="17773"/>
  <c r="N21" i="17773"/>
  <c r="N61" i="17773" s="1"/>
  <c r="Q61" i="17773" s="1"/>
  <c r="J21" i="17773"/>
  <c r="J61" i="17773" s="1"/>
  <c r="R61" i="17773" s="1"/>
  <c r="I21" i="17773"/>
  <c r="T20" i="17773"/>
  <c r="S20" i="17773"/>
  <c r="S23" i="17773" s="1"/>
  <c r="N20" i="17773"/>
  <c r="N60" i="17773" s="1"/>
  <c r="Q60" i="17773" s="1"/>
  <c r="J20" i="17773"/>
  <c r="M20" i="17773" s="1"/>
  <c r="I20" i="17773"/>
  <c r="P19" i="17773"/>
  <c r="O19" i="17773"/>
  <c r="N19" i="17773"/>
  <c r="Q19" i="17773" s="1"/>
  <c r="L19" i="17773"/>
  <c r="K19" i="17773"/>
  <c r="J19" i="17773"/>
  <c r="M19" i="17773" s="1"/>
  <c r="H19" i="17773"/>
  <c r="G19" i="17773"/>
  <c r="F19" i="17773"/>
  <c r="I19" i="17773" s="1"/>
  <c r="T18" i="17773"/>
  <c r="S18" i="17773"/>
  <c r="U18" i="17773" s="1"/>
  <c r="R18" i="17773"/>
  <c r="Q18" i="17773"/>
  <c r="M18" i="17773"/>
  <c r="I18" i="17773"/>
  <c r="T17" i="17773"/>
  <c r="S17" i="17773"/>
  <c r="R17" i="17773"/>
  <c r="U17" i="17773" s="1"/>
  <c r="Q17" i="17773"/>
  <c r="M17" i="17773"/>
  <c r="I17" i="17773"/>
  <c r="T16" i="17773"/>
  <c r="T19" i="17773" s="1"/>
  <c r="S16" i="17773"/>
  <c r="S19" i="17773" s="1"/>
  <c r="R16" i="17773"/>
  <c r="U16" i="17773" s="1"/>
  <c r="Q16" i="17773"/>
  <c r="M16" i="17773"/>
  <c r="I16" i="17773"/>
  <c r="P15" i="17773"/>
  <c r="O15" i="17773"/>
  <c r="O63" i="17773" s="1"/>
  <c r="N15" i="17773"/>
  <c r="Q15" i="17773" s="1"/>
  <c r="L15" i="17773"/>
  <c r="L63" i="17773" s="1"/>
  <c r="K15" i="17773"/>
  <c r="K63" i="17773" s="1"/>
  <c r="S63" i="17773" s="1"/>
  <c r="J15" i="17773"/>
  <c r="M15" i="17773" s="1"/>
  <c r="H15" i="17773"/>
  <c r="G15" i="17773"/>
  <c r="G63" i="17773" s="1"/>
  <c r="T14" i="17773"/>
  <c r="S14" i="17773"/>
  <c r="U14" i="17773" s="1"/>
  <c r="R14" i="17773"/>
  <c r="Q14" i="17773"/>
  <c r="M14" i="17773"/>
  <c r="I14" i="17773"/>
  <c r="T13" i="17773"/>
  <c r="T15" i="17773" s="1"/>
  <c r="S13" i="17773"/>
  <c r="R13" i="17773"/>
  <c r="U13" i="17773" s="1"/>
  <c r="Q13" i="17773"/>
  <c r="M13" i="17773"/>
  <c r="F13" i="17773"/>
  <c r="F61" i="17773" s="1"/>
  <c r="I61" i="17773" s="1"/>
  <c r="T12" i="17773"/>
  <c r="S12" i="17773"/>
  <c r="U12" i="17773" s="1"/>
  <c r="R12" i="17773"/>
  <c r="Q12" i="17773"/>
  <c r="M12" i="17773"/>
  <c r="I12" i="17773"/>
  <c r="D12" i="17773" s="1"/>
  <c r="F12" i="17773"/>
  <c r="F60" i="17773" s="1"/>
  <c r="I60" i="17773" s="1"/>
  <c r="T43" i="17773" l="1"/>
  <c r="U43" i="17773" s="1"/>
  <c r="U47" i="17773"/>
  <c r="D47" i="17773"/>
  <c r="U51" i="17773"/>
  <c r="D51" i="17773"/>
  <c r="D61" i="17773"/>
  <c r="U39" i="17773"/>
  <c r="D39" i="17773"/>
  <c r="U27" i="17773"/>
  <c r="D27" i="17773"/>
  <c r="U35" i="17773"/>
  <c r="D35" i="17773"/>
  <c r="R15" i="17773"/>
  <c r="D16" i="17773"/>
  <c r="R19" i="17773"/>
  <c r="R21" i="17773"/>
  <c r="H31" i="17773"/>
  <c r="I31" i="17773" s="1"/>
  <c r="M61" i="17773"/>
  <c r="U61" i="17773" s="1"/>
  <c r="S62" i="17773"/>
  <c r="F15" i="17773"/>
  <c r="D17" i="17773"/>
  <c r="I13" i="17773"/>
  <c r="S15" i="17773"/>
  <c r="Q20" i="17773"/>
  <c r="M21" i="17773"/>
  <c r="T62" i="17773"/>
  <c r="U24" i="17773"/>
  <c r="I29" i="17773"/>
  <c r="Q29" i="17773"/>
  <c r="U32" i="17773"/>
  <c r="U36" i="17773"/>
  <c r="M22" i="17774"/>
  <c r="U18" i="17774"/>
  <c r="U22" i="17774" s="1"/>
  <c r="R23" i="17774"/>
  <c r="D23" i="17774" s="1"/>
  <c r="M22" i="17777"/>
  <c r="U18" i="17777"/>
  <c r="U22" i="17777" s="1"/>
  <c r="T23" i="17778"/>
  <c r="Q23" i="17778"/>
  <c r="U19" i="17778"/>
  <c r="J23" i="17773"/>
  <c r="M23" i="17773" s="1"/>
  <c r="N23" i="17773"/>
  <c r="Q23" i="17773" s="1"/>
  <c r="U28" i="17773"/>
  <c r="R29" i="17773"/>
  <c r="J31" i="17773"/>
  <c r="M31" i="17773" s="1"/>
  <c r="U53" i="17773"/>
  <c r="R55" i="17773"/>
  <c r="U55" i="17773" s="1"/>
  <c r="J60" i="17773"/>
  <c r="N63" i="17773"/>
  <c r="I21" i="17774"/>
  <c r="D17" i="17774"/>
  <c r="D21" i="17774"/>
  <c r="M23" i="17776"/>
  <c r="U19" i="17776"/>
  <c r="U23" i="17776" s="1"/>
  <c r="D17" i="17777"/>
  <c r="R21" i="17777"/>
  <c r="P63" i="17773"/>
  <c r="T63" i="17773" s="1"/>
  <c r="R20" i="17773"/>
  <c r="D13" i="17773"/>
  <c r="Q21" i="17773"/>
  <c r="T22" i="17773"/>
  <c r="U22" i="17773" s="1"/>
  <c r="T42" i="17773"/>
  <c r="U42" i="17773" s="1"/>
  <c r="T58" i="17773"/>
  <c r="U58" i="17773" s="1"/>
  <c r="I23" i="17778"/>
  <c r="S19" i="17774"/>
  <c r="S23" i="17774" s="1"/>
  <c r="T19" i="17775"/>
  <c r="T23" i="17775" s="1"/>
  <c r="U16" i="17776"/>
  <c r="U20" i="17776" s="1"/>
  <c r="U17" i="17776"/>
  <c r="U21" i="17776" s="1"/>
  <c r="R19" i="17776"/>
  <c r="R23" i="17776" s="1"/>
  <c r="F23" i="17776"/>
  <c r="J23" i="17776"/>
  <c r="N23" i="17776"/>
  <c r="U17" i="17777"/>
  <c r="U21" i="17777" s="1"/>
  <c r="T18" i="17777"/>
  <c r="T22" i="17777" s="1"/>
  <c r="P19" i="17777"/>
  <c r="P23" i="17777" s="1"/>
  <c r="L22" i="17777"/>
  <c r="P22" i="17777"/>
  <c r="U12" i="17778"/>
  <c r="U20" i="17778" s="1"/>
  <c r="U14" i="17778"/>
  <c r="U22" i="17778" s="1"/>
  <c r="S19" i="17778"/>
  <c r="S23" i="17778" s="1"/>
  <c r="T19" i="17774"/>
  <c r="T23" i="17774" s="1"/>
  <c r="J23" i="17774"/>
  <c r="U18" i="17775"/>
  <c r="U22" i="17775" s="1"/>
  <c r="I19" i="17775"/>
  <c r="I23" i="17775" s="1"/>
  <c r="M19" i="17775"/>
  <c r="Q19" i="17775"/>
  <c r="Q23" i="17775" s="1"/>
  <c r="M20" i="17775"/>
  <c r="Q21" i="17775"/>
  <c r="D17" i="17776"/>
  <c r="S19" i="17776"/>
  <c r="S23" i="17776" s="1"/>
  <c r="I19" i="17777"/>
  <c r="I23" i="17777" s="1"/>
  <c r="M19" i="17777"/>
  <c r="Q20" i="17777"/>
  <c r="D13" i="17778"/>
  <c r="U13" i="17778"/>
  <c r="U21" i="17778" s="1"/>
  <c r="J15" i="17778"/>
  <c r="K23" i="17778"/>
  <c r="U16" i="17774"/>
  <c r="U20" i="17774" s="1"/>
  <c r="U17" i="17774"/>
  <c r="U21" i="17774" s="1"/>
  <c r="I19" i="17774"/>
  <c r="I23" i="17774" s="1"/>
  <c r="M19" i="17774"/>
  <c r="Q19" i="17774"/>
  <c r="Q23" i="17774" s="1"/>
  <c r="R19" i="17775"/>
  <c r="R23" i="17775" s="1"/>
  <c r="T19" i="17776"/>
  <c r="T23" i="17776" s="1"/>
  <c r="R19" i="17777"/>
  <c r="R23" i="17777" s="1"/>
  <c r="M20" i="17778"/>
  <c r="L23" i="17778"/>
  <c r="S19" i="17775"/>
  <c r="S23" i="17775" s="1"/>
  <c r="U18" i="17776"/>
  <c r="U22" i="17776" s="1"/>
  <c r="S19" i="17777"/>
  <c r="S23" i="17777" s="1"/>
  <c r="U15" i="17773" l="1"/>
  <c r="T59" i="17773"/>
  <c r="U59" i="17773" s="1"/>
  <c r="U19" i="17774"/>
  <c r="U23" i="17774" s="1"/>
  <c r="M23" i="17774"/>
  <c r="R15" i="17778"/>
  <c r="R23" i="17778" s="1"/>
  <c r="D23" i="17778" s="1"/>
  <c r="J23" i="17778"/>
  <c r="M15" i="17778"/>
  <c r="Q19" i="17777"/>
  <c r="Q23" i="17777" s="1"/>
  <c r="M23" i="17775"/>
  <c r="U19" i="17775"/>
  <c r="U23" i="17775" s="1"/>
  <c r="R23" i="17773"/>
  <c r="U20" i="17773"/>
  <c r="D20" i="17773"/>
  <c r="D19" i="17774"/>
  <c r="J63" i="17773"/>
  <c r="U21" i="17773"/>
  <c r="D21" i="17773"/>
  <c r="H63" i="17773"/>
  <c r="M23" i="17777"/>
  <c r="U19" i="17777"/>
  <c r="U23" i="17777" s="1"/>
  <c r="Q63" i="17773"/>
  <c r="U19" i="17773"/>
  <c r="D19" i="17773"/>
  <c r="T23" i="17773"/>
  <c r="T19" i="17777"/>
  <c r="T23" i="17777" s="1"/>
  <c r="R60" i="17773"/>
  <c r="D60" i="17773" s="1"/>
  <c r="M60" i="17773"/>
  <c r="U60" i="17773" s="1"/>
  <c r="D29" i="17773"/>
  <c r="R31" i="17773"/>
  <c r="U29" i="17773"/>
  <c r="I15" i="17773"/>
  <c r="D15" i="17773" s="1"/>
  <c r="F63" i="17773"/>
  <c r="I63" i="17773" s="1"/>
  <c r="M63" i="17773" l="1"/>
  <c r="U63" i="17773" s="1"/>
  <c r="R63" i="17773"/>
  <c r="D63" i="17773" s="1"/>
  <c r="U23" i="17773"/>
  <c r="D23" i="17773"/>
  <c r="M23" i="17778"/>
  <c r="U15" i="17778"/>
  <c r="U23" i="17778" s="1"/>
  <c r="U31" i="17773"/>
  <c r="D31" i="17773"/>
  <c r="CB158" i="17771" l="1"/>
  <c r="CA158" i="17771"/>
  <c r="BZ158" i="17771"/>
  <c r="BX158" i="17771"/>
  <c r="BW158" i="17771"/>
  <c r="BV158" i="17771"/>
  <c r="BU158" i="17771" s="1"/>
  <c r="BS158" i="17771"/>
  <c r="BO158" i="17771"/>
  <c r="BJ158" i="17771"/>
  <c r="BI158" i="17771"/>
  <c r="BF158" i="17771"/>
  <c r="BE158" i="17771"/>
  <c r="BD158" i="17771"/>
  <c r="BC158" i="17771" s="1"/>
  <c r="BB158" i="17771"/>
  <c r="BA158" i="17771"/>
  <c r="AZ158" i="17771"/>
  <c r="AX158" i="17771"/>
  <c r="AW158" i="17771"/>
  <c r="AV158" i="17771"/>
  <c r="AU158" i="17771" s="1"/>
  <c r="AF158" i="17771"/>
  <c r="AB158" i="17771"/>
  <c r="AA158" i="17771"/>
  <c r="Z158" i="17771"/>
  <c r="Y158" i="17771"/>
  <c r="BR158" i="17771" s="1"/>
  <c r="X158" i="17771"/>
  <c r="BQ158" i="17771" s="1"/>
  <c r="P158" i="17771"/>
  <c r="L158" i="17771"/>
  <c r="AY158" i="17771" s="1"/>
  <c r="K158" i="17771"/>
  <c r="BH158" i="17771" s="1"/>
  <c r="G158" i="17771"/>
  <c r="F158" i="17771"/>
  <c r="BG158" i="17771" s="1"/>
  <c r="B158" i="17771"/>
  <c r="BY158" i="17771" s="1"/>
  <c r="CB157" i="17771"/>
  <c r="CA157" i="17771"/>
  <c r="BZ157" i="17771"/>
  <c r="BX157" i="17771"/>
  <c r="BW157" i="17771"/>
  <c r="BV157" i="17771"/>
  <c r="BU157" i="17771"/>
  <c r="BJ157" i="17771"/>
  <c r="BF157" i="17771"/>
  <c r="BE157" i="17771"/>
  <c r="BD157" i="17771"/>
  <c r="BC157" i="17771"/>
  <c r="BB157" i="17771"/>
  <c r="BA157" i="17771"/>
  <c r="AZ157" i="17771"/>
  <c r="AX157" i="17771"/>
  <c r="AW157" i="17771"/>
  <c r="AV157" i="17771"/>
  <c r="AU157" i="17771"/>
  <c r="AF157" i="17771"/>
  <c r="AB157" i="17771"/>
  <c r="Z157" i="17771"/>
  <c r="BS157" i="17771" s="1"/>
  <c r="Y157" i="17771"/>
  <c r="BR157" i="17771" s="1"/>
  <c r="X157" i="17771"/>
  <c r="BQ157" i="17771" s="1"/>
  <c r="P157" i="17771"/>
  <c r="BI157" i="17771" s="1"/>
  <c r="L157" i="17771"/>
  <c r="AY157" i="17771" s="1"/>
  <c r="K157" i="17771"/>
  <c r="BH157" i="17771" s="1"/>
  <c r="G157" i="17771"/>
  <c r="F157" i="17771"/>
  <c r="BG157" i="17771" s="1"/>
  <c r="B157" i="17771"/>
  <c r="BY157" i="17771" s="1"/>
  <c r="CB156" i="17771"/>
  <c r="CA156" i="17771"/>
  <c r="BZ156" i="17771"/>
  <c r="BY156" i="17771"/>
  <c r="BX156" i="17771"/>
  <c r="BW156" i="17771"/>
  <c r="BV156" i="17771"/>
  <c r="BU156" i="17771"/>
  <c r="BQ156" i="17771"/>
  <c r="BP156" i="17771"/>
  <c r="BM156" i="17771"/>
  <c r="BJ156" i="17771"/>
  <c r="BH156" i="17771"/>
  <c r="BF156" i="17771"/>
  <c r="BE156" i="17771"/>
  <c r="BD156" i="17771"/>
  <c r="BC156" i="17771"/>
  <c r="BB156" i="17771"/>
  <c r="BA156" i="17771"/>
  <c r="AZ156" i="17771"/>
  <c r="AY156" i="17771"/>
  <c r="AX156" i="17771"/>
  <c r="AW156" i="17771"/>
  <c r="AV156" i="17771"/>
  <c r="AU156" i="17771"/>
  <c r="AF156" i="17771"/>
  <c r="AB156" i="17771"/>
  <c r="Z156" i="17771"/>
  <c r="AA156" i="17771" s="1"/>
  <c r="Y156" i="17771"/>
  <c r="BR156" i="17771" s="1"/>
  <c r="X156" i="17771"/>
  <c r="W156" i="17771"/>
  <c r="P156" i="17771"/>
  <c r="BI156" i="17771" s="1"/>
  <c r="L156" i="17771"/>
  <c r="K156" i="17771"/>
  <c r="G156" i="17771"/>
  <c r="F156" i="17771"/>
  <c r="BG156" i="17771" s="1"/>
  <c r="B156" i="17771"/>
  <c r="CB155" i="17771"/>
  <c r="CA155" i="17771"/>
  <c r="BZ155" i="17771"/>
  <c r="BX155" i="17771"/>
  <c r="BW155" i="17771"/>
  <c r="BV155" i="17771"/>
  <c r="BU155" i="17771" s="1"/>
  <c r="BQ155" i="17771"/>
  <c r="BM155" i="17771"/>
  <c r="BJ155" i="17771"/>
  <c r="BI155" i="17771"/>
  <c r="BH155" i="17771"/>
  <c r="BF155" i="17771"/>
  <c r="BE155" i="17771"/>
  <c r="BD155" i="17771"/>
  <c r="BC155" i="17771" s="1"/>
  <c r="BB155" i="17771"/>
  <c r="BA155" i="17771"/>
  <c r="AZ155" i="17771"/>
  <c r="AX155" i="17771"/>
  <c r="AW155" i="17771"/>
  <c r="AV155" i="17771"/>
  <c r="AU155" i="17771" s="1"/>
  <c r="AF155" i="17771"/>
  <c r="AB155" i="17771"/>
  <c r="AA155" i="17771"/>
  <c r="Z155" i="17771"/>
  <c r="BS155" i="17771" s="1"/>
  <c r="Y155" i="17771"/>
  <c r="BR155" i="17771" s="1"/>
  <c r="X155" i="17771"/>
  <c r="W155" i="17771"/>
  <c r="BP155" i="17771" s="1"/>
  <c r="P155" i="17771"/>
  <c r="L155" i="17771"/>
  <c r="AY155" i="17771" s="1"/>
  <c r="K155" i="17771"/>
  <c r="G155" i="17771"/>
  <c r="F155" i="17771"/>
  <c r="BG155" i="17771" s="1"/>
  <c r="B155" i="17771"/>
  <c r="BY155" i="17771" s="1"/>
  <c r="CB154" i="17771"/>
  <c r="CA154" i="17771"/>
  <c r="BZ154" i="17771"/>
  <c r="BX154" i="17771"/>
  <c r="BW154" i="17771"/>
  <c r="BU154" i="17771" s="1"/>
  <c r="BV154" i="17771"/>
  <c r="BR154" i="17771"/>
  <c r="BN154" i="17771"/>
  <c r="BJ154" i="17771"/>
  <c r="BI154" i="17771"/>
  <c r="BF154" i="17771"/>
  <c r="BE154" i="17771"/>
  <c r="BC154" i="17771" s="1"/>
  <c r="BD154" i="17771"/>
  <c r="BB154" i="17771"/>
  <c r="BA154" i="17771"/>
  <c r="AZ154" i="17771"/>
  <c r="AX154" i="17771"/>
  <c r="AW154" i="17771"/>
  <c r="AU154" i="17771" s="1"/>
  <c r="AV154" i="17771"/>
  <c r="AF154" i="17771"/>
  <c r="AB154" i="17771"/>
  <c r="Z154" i="17771"/>
  <c r="BS154" i="17771" s="1"/>
  <c r="Y154" i="17771"/>
  <c r="X154" i="17771"/>
  <c r="BQ154" i="17771" s="1"/>
  <c r="P154" i="17771"/>
  <c r="L154" i="17771"/>
  <c r="AY154" i="17771" s="1"/>
  <c r="K154" i="17771"/>
  <c r="BH154" i="17771" s="1"/>
  <c r="G154" i="17771"/>
  <c r="F154" i="17771"/>
  <c r="BG154" i="17771" s="1"/>
  <c r="B154" i="17771"/>
  <c r="BY154" i="17771" s="1"/>
  <c r="CB153" i="17771"/>
  <c r="BZ153" i="17771"/>
  <c r="BX153" i="17771"/>
  <c r="BV153" i="17771"/>
  <c r="BF153" i="17771"/>
  <c r="BD153" i="17771"/>
  <c r="BB153" i="17771"/>
  <c r="AZ153" i="17771"/>
  <c r="AX153" i="17771"/>
  <c r="AV153" i="17771"/>
  <c r="AS153" i="17771"/>
  <c r="AS160" i="17771" s="1"/>
  <c r="AR153" i="17771"/>
  <c r="AQ153" i="17771"/>
  <c r="AO153" i="17771"/>
  <c r="AN153" i="17771"/>
  <c r="AL153" i="17771"/>
  <c r="AK153" i="17771"/>
  <c r="AI153" i="17771"/>
  <c r="AH153" i="17771"/>
  <c r="AE153" i="17771"/>
  <c r="AF153" i="17771" s="1"/>
  <c r="AD153" i="17771"/>
  <c r="BW153" i="17771" s="1"/>
  <c r="AB153" i="17771"/>
  <c r="X153" i="17771"/>
  <c r="V153" i="17771"/>
  <c r="U153" i="17771"/>
  <c r="S153" i="17771"/>
  <c r="Z153" i="17771" s="1"/>
  <c r="R153" i="17771"/>
  <c r="O153" i="17771"/>
  <c r="N153" i="17771"/>
  <c r="Y153" i="17771" s="1"/>
  <c r="BR153" i="17771" s="1"/>
  <c r="J153" i="17771"/>
  <c r="I153" i="17771"/>
  <c r="G153" i="17771" s="1"/>
  <c r="E153" i="17771"/>
  <c r="D153" i="17771"/>
  <c r="CA153" i="17771" s="1"/>
  <c r="BZ151" i="17771"/>
  <c r="BV151" i="17771"/>
  <c r="BQ151" i="17771"/>
  <c r="BD151" i="17771"/>
  <c r="AZ151" i="17771"/>
  <c r="AV151" i="17771"/>
  <c r="X151" i="17771"/>
  <c r="BM151" i="17771" s="1"/>
  <c r="CB150" i="17771"/>
  <c r="CA150" i="17771"/>
  <c r="BX150" i="17771"/>
  <c r="BW150" i="17771"/>
  <c r="BS150" i="17771"/>
  <c r="BO150" i="17771"/>
  <c r="BI150" i="17771"/>
  <c r="BG150" i="17771"/>
  <c r="BF150" i="17771"/>
  <c r="BE150" i="17771"/>
  <c r="BB150" i="17771"/>
  <c r="BA150" i="17771"/>
  <c r="AX150" i="17771"/>
  <c r="AW150" i="17771"/>
  <c r="AF150" i="17771"/>
  <c r="AA150" i="17771"/>
  <c r="Z150" i="17771"/>
  <c r="Y150" i="17771"/>
  <c r="BR150" i="17771" s="1"/>
  <c r="P150" i="17771"/>
  <c r="K150" i="17771"/>
  <c r="BH150" i="17771" s="1"/>
  <c r="F150" i="17771"/>
  <c r="CB149" i="17771"/>
  <c r="CA149" i="17771"/>
  <c r="BX149" i="17771"/>
  <c r="BW149" i="17771"/>
  <c r="BS149" i="17771"/>
  <c r="BO149" i="17771"/>
  <c r="BI149" i="17771"/>
  <c r="BG149" i="17771"/>
  <c r="BF149" i="17771"/>
  <c r="BE149" i="17771"/>
  <c r="BB149" i="17771"/>
  <c r="BA149" i="17771"/>
  <c r="AX149" i="17771"/>
  <c r="AW149" i="17771"/>
  <c r="AF149" i="17771"/>
  <c r="AA149" i="17771"/>
  <c r="Z149" i="17771"/>
  <c r="Y149" i="17771"/>
  <c r="BR149" i="17771" s="1"/>
  <c r="P149" i="17771"/>
  <c r="K149" i="17771"/>
  <c r="BH149" i="17771" s="1"/>
  <c r="F149" i="17771"/>
  <c r="CA148" i="17771"/>
  <c r="BE148" i="17771"/>
  <c r="BA148" i="17771"/>
  <c r="AW148" i="17771"/>
  <c r="AE148" i="17771"/>
  <c r="AD148" i="17771"/>
  <c r="BW148" i="17771" s="1"/>
  <c r="Z148" i="17771"/>
  <c r="Y148" i="17771"/>
  <c r="P148" i="17771"/>
  <c r="K148" i="17771"/>
  <c r="F148" i="17771"/>
  <c r="CB147" i="17771"/>
  <c r="BX147" i="17771"/>
  <c r="BE147" i="17771"/>
  <c r="AH147" i="17771"/>
  <c r="AF147" i="17771"/>
  <c r="BG147" i="17771" s="1"/>
  <c r="AE147" i="17771"/>
  <c r="BF147" i="17771" s="1"/>
  <c r="AD147" i="17771"/>
  <c r="Z147" i="17771"/>
  <c r="R147" i="17771"/>
  <c r="Y147" i="17771" s="1"/>
  <c r="BR147" i="17771" s="1"/>
  <c r="P147" i="17771"/>
  <c r="K147" i="17771"/>
  <c r="F147" i="17771"/>
  <c r="CB146" i="17771"/>
  <c r="AR146" i="17771"/>
  <c r="AQ146" i="17771"/>
  <c r="AO146" i="17771"/>
  <c r="AN146" i="17771"/>
  <c r="AL146" i="17771"/>
  <c r="AK146" i="17771"/>
  <c r="AI146" i="17771"/>
  <c r="AH146" i="17771"/>
  <c r="AE146" i="17771"/>
  <c r="V146" i="17771"/>
  <c r="U146" i="17771"/>
  <c r="S146" i="17771"/>
  <c r="P146" i="17771"/>
  <c r="K146" i="17771"/>
  <c r="F146" i="17771"/>
  <c r="CB145" i="17771"/>
  <c r="BX145" i="17771"/>
  <c r="BB145" i="17771"/>
  <c r="BA145" i="17771"/>
  <c r="AH145" i="17771"/>
  <c r="BE145" i="17771" s="1"/>
  <c r="AF145" i="17771"/>
  <c r="BI145" i="17771" s="1"/>
  <c r="AE145" i="17771"/>
  <c r="BF145" i="17771" s="1"/>
  <c r="AD145" i="17771"/>
  <c r="Z145" i="17771"/>
  <c r="BO145" i="17771" s="1"/>
  <c r="R145" i="17771"/>
  <c r="Y145" i="17771" s="1"/>
  <c r="BR145" i="17771" s="1"/>
  <c r="P145" i="17771"/>
  <c r="K145" i="17771"/>
  <c r="F145" i="17771"/>
  <c r="AR144" i="17771"/>
  <c r="AQ144" i="17771"/>
  <c r="AO144" i="17771"/>
  <c r="AN144" i="17771"/>
  <c r="AL144" i="17771"/>
  <c r="AK144" i="17771"/>
  <c r="AI144" i="17771"/>
  <c r="AH144" i="17771"/>
  <c r="AG144" i="17771"/>
  <c r="AC144" i="17771"/>
  <c r="BZ144" i="17771" s="1"/>
  <c r="V144" i="17771"/>
  <c r="U144" i="17771"/>
  <c r="S144" i="17771"/>
  <c r="Q144" i="17771"/>
  <c r="X144" i="17771" s="1"/>
  <c r="P144" i="17771"/>
  <c r="O144" i="17771"/>
  <c r="N144" i="17771"/>
  <c r="L144" i="17771"/>
  <c r="K144" i="17771"/>
  <c r="J144" i="17771"/>
  <c r="I144" i="17771"/>
  <c r="G144" i="17771"/>
  <c r="F144" i="17771"/>
  <c r="E144" i="17771"/>
  <c r="D144" i="17771"/>
  <c r="B144" i="17771"/>
  <c r="BZ142" i="17771"/>
  <c r="BV142" i="17771"/>
  <c r="M142" i="17771"/>
  <c r="AV142" i="17771" s="1"/>
  <c r="CB141" i="17771"/>
  <c r="CA141" i="17771"/>
  <c r="BX141" i="17771"/>
  <c r="BW141" i="17771"/>
  <c r="BR141" i="17771"/>
  <c r="BN141" i="17771"/>
  <c r="BF141" i="17771"/>
  <c r="BE141" i="17771"/>
  <c r="BB141" i="17771"/>
  <c r="BA141" i="17771"/>
  <c r="AX141" i="17771"/>
  <c r="AW141" i="17771"/>
  <c r="AF141" i="17771"/>
  <c r="Z141" i="17771"/>
  <c r="BO141" i="17771" s="1"/>
  <c r="Y141" i="17771"/>
  <c r="P141" i="17771"/>
  <c r="BI141" i="17771" s="1"/>
  <c r="K141" i="17771"/>
  <c r="BH141" i="17771" s="1"/>
  <c r="F141" i="17771"/>
  <c r="BG141" i="17771" s="1"/>
  <c r="CB140" i="17771"/>
  <c r="CA140" i="17771"/>
  <c r="BX140" i="17771"/>
  <c r="BW140" i="17771"/>
  <c r="BR140" i="17771"/>
  <c r="BN140" i="17771"/>
  <c r="BF140" i="17771"/>
  <c r="BE140" i="17771"/>
  <c r="BB140" i="17771"/>
  <c r="BA140" i="17771"/>
  <c r="AX140" i="17771"/>
  <c r="AW140" i="17771"/>
  <c r="AF140" i="17771"/>
  <c r="Z140" i="17771"/>
  <c r="BO140" i="17771" s="1"/>
  <c r="Y140" i="17771"/>
  <c r="P140" i="17771"/>
  <c r="BI140" i="17771" s="1"/>
  <c r="K140" i="17771"/>
  <c r="BH140" i="17771" s="1"/>
  <c r="F140" i="17771"/>
  <c r="BG140" i="17771" s="1"/>
  <c r="CB139" i="17771"/>
  <c r="CA139" i="17771"/>
  <c r="BX139" i="17771"/>
  <c r="BW139" i="17771"/>
  <c r="BR139" i="17771"/>
  <c r="BN139" i="17771"/>
  <c r="BF139" i="17771"/>
  <c r="BE139" i="17771"/>
  <c r="BB139" i="17771"/>
  <c r="BA139" i="17771"/>
  <c r="AX139" i="17771"/>
  <c r="AW139" i="17771"/>
  <c r="AF139" i="17771"/>
  <c r="Z139" i="17771"/>
  <c r="BO139" i="17771" s="1"/>
  <c r="Y139" i="17771"/>
  <c r="P139" i="17771"/>
  <c r="BI139" i="17771" s="1"/>
  <c r="K139" i="17771"/>
  <c r="BH139" i="17771" s="1"/>
  <c r="F139" i="17771"/>
  <c r="BG139" i="17771" s="1"/>
  <c r="CB138" i="17771"/>
  <c r="CA138" i="17771"/>
  <c r="BX138" i="17771"/>
  <c r="BW138" i="17771"/>
  <c r="BR138" i="17771"/>
  <c r="BN138" i="17771"/>
  <c r="BF138" i="17771"/>
  <c r="BE138" i="17771"/>
  <c r="BB138" i="17771"/>
  <c r="BA138" i="17771"/>
  <c r="AX138" i="17771"/>
  <c r="AW138" i="17771"/>
  <c r="AF138" i="17771"/>
  <c r="Z138" i="17771"/>
  <c r="BO138" i="17771" s="1"/>
  <c r="Y138" i="17771"/>
  <c r="P138" i="17771"/>
  <c r="BI138" i="17771" s="1"/>
  <c r="K138" i="17771"/>
  <c r="BH138" i="17771" s="1"/>
  <c r="F138" i="17771"/>
  <c r="BG138" i="17771" s="1"/>
  <c r="CB137" i="17771"/>
  <c r="CA137" i="17771"/>
  <c r="BX137" i="17771"/>
  <c r="BW137" i="17771"/>
  <c r="BR137" i="17771"/>
  <c r="BN137" i="17771"/>
  <c r="BF137" i="17771"/>
  <c r="BE137" i="17771"/>
  <c r="BB137" i="17771"/>
  <c r="BA137" i="17771"/>
  <c r="AX137" i="17771"/>
  <c r="AW137" i="17771"/>
  <c r="AF137" i="17771"/>
  <c r="Z137" i="17771"/>
  <c r="BO137" i="17771" s="1"/>
  <c r="Y137" i="17771"/>
  <c r="P137" i="17771"/>
  <c r="BI137" i="17771" s="1"/>
  <c r="K137" i="17771"/>
  <c r="BH137" i="17771" s="1"/>
  <c r="F137" i="17771"/>
  <c r="BG137" i="17771" s="1"/>
  <c r="CB136" i="17771"/>
  <c r="CA136" i="17771"/>
  <c r="BX136" i="17771"/>
  <c r="BX135" i="17771" s="1"/>
  <c r="BW136" i="17771"/>
  <c r="BW135" i="17771" s="1"/>
  <c r="BU135" i="17771" s="1"/>
  <c r="BR136" i="17771"/>
  <c r="BN136" i="17771"/>
  <c r="BN135" i="17771" s="1"/>
  <c r="BF136" i="17771"/>
  <c r="BE136" i="17771"/>
  <c r="BB136" i="17771"/>
  <c r="BA136" i="17771"/>
  <c r="AX136" i="17771"/>
  <c r="AW136" i="17771"/>
  <c r="AF136" i="17771"/>
  <c r="Z136" i="17771"/>
  <c r="BO136" i="17771" s="1"/>
  <c r="Y136" i="17771"/>
  <c r="P136" i="17771"/>
  <c r="BI136" i="17771" s="1"/>
  <c r="K136" i="17771"/>
  <c r="BH136" i="17771" s="1"/>
  <c r="F136" i="17771"/>
  <c r="BG136" i="17771" s="1"/>
  <c r="BZ135" i="17771"/>
  <c r="BV135" i="17771"/>
  <c r="BF135" i="17771"/>
  <c r="BE135" i="17771"/>
  <c r="BD135" i="17771"/>
  <c r="BC135" i="17771"/>
  <c r="BB135" i="17771"/>
  <c r="AZ135" i="17771"/>
  <c r="AX135" i="17771"/>
  <c r="AW135" i="17771"/>
  <c r="AV135" i="17771"/>
  <c r="AU135" i="17771"/>
  <c r="AR135" i="17771"/>
  <c r="AQ135" i="17771"/>
  <c r="AO135" i="17771"/>
  <c r="AN135" i="17771"/>
  <c r="AL135" i="17771"/>
  <c r="AK135" i="17771"/>
  <c r="AI135" i="17771"/>
  <c r="AH135" i="17771"/>
  <c r="AF135" i="17771"/>
  <c r="AE135" i="17771"/>
  <c r="AD135" i="17771"/>
  <c r="AB135" i="17771"/>
  <c r="Y135" i="17771"/>
  <c r="BR135" i="17771" s="1"/>
  <c r="X135" i="17771"/>
  <c r="BQ135" i="17771" s="1"/>
  <c r="W135" i="17771"/>
  <c r="BP135" i="17771" s="1"/>
  <c r="V135" i="17771"/>
  <c r="U135" i="17771"/>
  <c r="S135" i="17771"/>
  <c r="R135" i="17771"/>
  <c r="O135" i="17771"/>
  <c r="P135" i="17771" s="1"/>
  <c r="BI135" i="17771" s="1"/>
  <c r="N135" i="17771"/>
  <c r="BA135" i="17771" s="1"/>
  <c r="L135" i="17771"/>
  <c r="AY135" i="17771" s="1"/>
  <c r="J135" i="17771"/>
  <c r="K135" i="17771" s="1"/>
  <c r="BH135" i="17771" s="1"/>
  <c r="I135" i="17771"/>
  <c r="G135" i="17771"/>
  <c r="E135" i="17771"/>
  <c r="CB135" i="17771" s="1"/>
  <c r="D135" i="17771"/>
  <c r="CA135" i="17771" s="1"/>
  <c r="B135" i="17771"/>
  <c r="BY135" i="17771" s="1"/>
  <c r="BZ134" i="17771"/>
  <c r="BV134" i="17771"/>
  <c r="BD134" i="17771"/>
  <c r="AZ134" i="17771"/>
  <c r="AV134" i="17771"/>
  <c r="X134" i="17771"/>
  <c r="BQ134" i="17771" s="1"/>
  <c r="CB133" i="17771"/>
  <c r="CA133" i="17771"/>
  <c r="BX133" i="17771"/>
  <c r="BW133" i="17771"/>
  <c r="BR133" i="17771"/>
  <c r="BN133" i="17771"/>
  <c r="BF133" i="17771"/>
  <c r="BE133" i="17771"/>
  <c r="BB133" i="17771"/>
  <c r="BA133" i="17771"/>
  <c r="AX133" i="17771"/>
  <c r="AW133" i="17771"/>
  <c r="AF133" i="17771"/>
  <c r="Z133" i="17771"/>
  <c r="Y133" i="17771"/>
  <c r="P133" i="17771"/>
  <c r="BI133" i="17771" s="1"/>
  <c r="K133" i="17771"/>
  <c r="BH133" i="17771" s="1"/>
  <c r="F133" i="17771"/>
  <c r="BG133" i="17771" s="1"/>
  <c r="CB132" i="17771"/>
  <c r="CA132" i="17771"/>
  <c r="BX132" i="17771"/>
  <c r="BW132" i="17771"/>
  <c r="BR132" i="17771"/>
  <c r="BN132" i="17771"/>
  <c r="BF132" i="17771"/>
  <c r="BE132" i="17771"/>
  <c r="BB132" i="17771"/>
  <c r="BA132" i="17771"/>
  <c r="AX132" i="17771"/>
  <c r="AW132" i="17771"/>
  <c r="AF132" i="17771"/>
  <c r="Z132" i="17771"/>
  <c r="Y132" i="17771"/>
  <c r="P132" i="17771"/>
  <c r="BI132" i="17771" s="1"/>
  <c r="K132" i="17771"/>
  <c r="BH132" i="17771" s="1"/>
  <c r="F132" i="17771"/>
  <c r="BG132" i="17771" s="1"/>
  <c r="CA131" i="17771"/>
  <c r="BW131" i="17771"/>
  <c r="BF131" i="17771"/>
  <c r="BA131" i="17771"/>
  <c r="AX131" i="17771"/>
  <c r="AH131" i="17771"/>
  <c r="AH129" i="17771" s="1"/>
  <c r="AF131" i="17771"/>
  <c r="AE131" i="17771"/>
  <c r="AD131" i="17771"/>
  <c r="BE131" i="17771" s="1"/>
  <c r="Z131" i="17771"/>
  <c r="Y131" i="17771"/>
  <c r="BR131" i="17771" s="1"/>
  <c r="R131" i="17771"/>
  <c r="P131" i="17771"/>
  <c r="K131" i="17771"/>
  <c r="F131" i="17771"/>
  <c r="BG131" i="17771" s="1"/>
  <c r="CB130" i="17771"/>
  <c r="CA130" i="17771"/>
  <c r="BX130" i="17771"/>
  <c r="BW130" i="17771"/>
  <c r="BR130" i="17771"/>
  <c r="BO130" i="17771"/>
  <c r="BN130" i="17771"/>
  <c r="BG130" i="17771"/>
  <c r="BF130" i="17771"/>
  <c r="BE130" i="17771"/>
  <c r="BB130" i="17771"/>
  <c r="BA130" i="17771"/>
  <c r="AX130" i="17771"/>
  <c r="AW130" i="17771"/>
  <c r="AF130" i="17771"/>
  <c r="AA130" i="17771"/>
  <c r="Z130" i="17771"/>
  <c r="BS130" i="17771" s="1"/>
  <c r="Y130" i="17771"/>
  <c r="P130" i="17771"/>
  <c r="BI130" i="17771" s="1"/>
  <c r="K130" i="17771"/>
  <c r="BH130" i="17771" s="1"/>
  <c r="F130" i="17771"/>
  <c r="BX129" i="17771"/>
  <c r="BW129" i="17771"/>
  <c r="BA129" i="17771"/>
  <c r="AR129" i="17771"/>
  <c r="AQ129" i="17771"/>
  <c r="AQ127" i="17771" s="1"/>
  <c r="AO129" i="17771"/>
  <c r="AN129" i="17771"/>
  <c r="AL129" i="17771"/>
  <c r="AK129" i="17771"/>
  <c r="AK127" i="17771" s="1"/>
  <c r="AI129" i="17771"/>
  <c r="BF129" i="17771" s="1"/>
  <c r="AE129" i="17771"/>
  <c r="AD129" i="17771"/>
  <c r="BN129" i="17771" s="1"/>
  <c r="Y129" i="17771"/>
  <c r="BR129" i="17771" s="1"/>
  <c r="V129" i="17771"/>
  <c r="V127" i="17771" s="1"/>
  <c r="U129" i="17771"/>
  <c r="S129" i="17771"/>
  <c r="R129" i="17771"/>
  <c r="R127" i="17771" s="1"/>
  <c r="P129" i="17771"/>
  <c r="K129" i="17771"/>
  <c r="F129" i="17771"/>
  <c r="CB128" i="17771"/>
  <c r="CA128" i="17771"/>
  <c r="BH128" i="17771"/>
  <c r="BF128" i="17771"/>
  <c r="BE128" i="17771"/>
  <c r="BB128" i="17771"/>
  <c r="AX128" i="17771"/>
  <c r="AW128" i="17771"/>
  <c r="AF128" i="17771"/>
  <c r="AE128" i="17771"/>
  <c r="BX128" i="17771" s="1"/>
  <c r="BX127" i="17771" s="1"/>
  <c r="AD128" i="17771"/>
  <c r="BW128" i="17771" s="1"/>
  <c r="BW127" i="17771" s="1"/>
  <c r="Z128" i="17771"/>
  <c r="BS128" i="17771" s="1"/>
  <c r="R128" i="17771"/>
  <c r="Y128" i="17771" s="1"/>
  <c r="BR128" i="17771" s="1"/>
  <c r="P128" i="17771"/>
  <c r="BI128" i="17771" s="1"/>
  <c r="K128" i="17771"/>
  <c r="F128" i="17771"/>
  <c r="BG128" i="17771" s="1"/>
  <c r="BZ127" i="17771"/>
  <c r="AZ127" i="17771"/>
  <c r="AR127" i="17771"/>
  <c r="AO127" i="17771"/>
  <c r="AN127" i="17771"/>
  <c r="AL127" i="17771"/>
  <c r="AI127" i="17771"/>
  <c r="AH127" i="17771"/>
  <c r="AC127" i="17771"/>
  <c r="BD127" i="17771" s="1"/>
  <c r="Y127" i="17771"/>
  <c r="U127" i="17771"/>
  <c r="S127" i="17771"/>
  <c r="Q127" i="17771"/>
  <c r="X127" i="17771" s="1"/>
  <c r="W127" i="17771" s="1"/>
  <c r="P127" i="17771"/>
  <c r="O127" i="17771"/>
  <c r="N127" i="17771"/>
  <c r="L127" i="17771"/>
  <c r="K127" i="17771"/>
  <c r="J127" i="17771"/>
  <c r="I127" i="17771"/>
  <c r="G127" i="17771"/>
  <c r="F127" i="17771"/>
  <c r="E127" i="17771"/>
  <c r="D127" i="17771"/>
  <c r="B127" i="17771"/>
  <c r="BZ126" i="17771"/>
  <c r="BV126" i="17771"/>
  <c r="BD126" i="17771"/>
  <c r="AZ126" i="17771"/>
  <c r="AV126" i="17771"/>
  <c r="X126" i="17771"/>
  <c r="BQ126" i="17771" s="1"/>
  <c r="CB125" i="17771"/>
  <c r="CA125" i="17771"/>
  <c r="BX125" i="17771"/>
  <c r="BW125" i="17771"/>
  <c r="BS125" i="17771"/>
  <c r="BI125" i="17771"/>
  <c r="BF125" i="17771"/>
  <c r="BE125" i="17771"/>
  <c r="BB125" i="17771"/>
  <c r="BA125" i="17771"/>
  <c r="AX125" i="17771"/>
  <c r="AW125" i="17771"/>
  <c r="AF125" i="17771"/>
  <c r="Z125" i="17771"/>
  <c r="BO125" i="17771" s="1"/>
  <c r="Y125" i="17771"/>
  <c r="BR125" i="17771" s="1"/>
  <c r="P125" i="17771"/>
  <c r="K125" i="17771"/>
  <c r="BH125" i="17771" s="1"/>
  <c r="F125" i="17771"/>
  <c r="BG125" i="17771" s="1"/>
  <c r="CB124" i="17771"/>
  <c r="CA124" i="17771"/>
  <c r="BX124" i="17771"/>
  <c r="BW124" i="17771"/>
  <c r="BS124" i="17771"/>
  <c r="BI124" i="17771"/>
  <c r="BG124" i="17771"/>
  <c r="BF124" i="17771"/>
  <c r="BE124" i="17771"/>
  <c r="BB124" i="17771"/>
  <c r="BA124" i="17771"/>
  <c r="AX124" i="17771"/>
  <c r="AW124" i="17771"/>
  <c r="AF124" i="17771"/>
  <c r="AA124" i="17771"/>
  <c r="Z124" i="17771"/>
  <c r="BO124" i="17771" s="1"/>
  <c r="Y124" i="17771"/>
  <c r="BR124" i="17771" s="1"/>
  <c r="P124" i="17771"/>
  <c r="K124" i="17771"/>
  <c r="BH124" i="17771" s="1"/>
  <c r="F124" i="17771"/>
  <c r="CB123" i="17771"/>
  <c r="CA123" i="17771"/>
  <c r="BX123" i="17771"/>
  <c r="BW123" i="17771"/>
  <c r="BI123" i="17771"/>
  <c r="BF123" i="17771"/>
  <c r="BE123" i="17771"/>
  <c r="BB123" i="17771"/>
  <c r="BA123" i="17771"/>
  <c r="AX123" i="17771"/>
  <c r="AW123" i="17771"/>
  <c r="AF123" i="17771"/>
  <c r="Z123" i="17771"/>
  <c r="BS123" i="17771" s="1"/>
  <c r="Y123" i="17771"/>
  <c r="BR123" i="17771" s="1"/>
  <c r="P123" i="17771"/>
  <c r="K123" i="17771"/>
  <c r="BH123" i="17771" s="1"/>
  <c r="F123" i="17771"/>
  <c r="BG123" i="17771" s="1"/>
  <c r="BW122" i="17771"/>
  <c r="BE122" i="17771"/>
  <c r="BA122" i="17771"/>
  <c r="AW122" i="17771"/>
  <c r="AE122" i="17771"/>
  <c r="AE121" i="17771" s="1"/>
  <c r="AD122" i="17771"/>
  <c r="CA122" i="17771" s="1"/>
  <c r="Z122" i="17771"/>
  <c r="AA122" i="17771" s="1"/>
  <c r="Y122" i="17771"/>
  <c r="BR122" i="17771" s="1"/>
  <c r="R122" i="17771"/>
  <c r="P122" i="17771"/>
  <c r="K122" i="17771"/>
  <c r="F122" i="17771"/>
  <c r="BW121" i="17771"/>
  <c r="AR121" i="17771"/>
  <c r="AQ121" i="17771"/>
  <c r="AQ119" i="17771" s="1"/>
  <c r="AQ110" i="17771" s="1"/>
  <c r="AO121" i="17771"/>
  <c r="AO119" i="17771" s="1"/>
  <c r="AN121" i="17771"/>
  <c r="AL121" i="17771"/>
  <c r="AK121" i="17771"/>
  <c r="AK119" i="17771" s="1"/>
  <c r="AK110" i="17771" s="1"/>
  <c r="AI121" i="17771"/>
  <c r="AI119" i="17771" s="1"/>
  <c r="AI110" i="17771" s="1"/>
  <c r="AD121" i="17771"/>
  <c r="CA121" i="17771" s="1"/>
  <c r="V121" i="17771"/>
  <c r="U121" i="17771"/>
  <c r="S121" i="17771"/>
  <c r="R121" i="17771"/>
  <c r="P121" i="17771"/>
  <c r="K121" i="17771"/>
  <c r="F121" i="17771"/>
  <c r="CA120" i="17771"/>
  <c r="BE120" i="17771"/>
  <c r="BA120" i="17771"/>
  <c r="AW120" i="17771"/>
  <c r="AE120" i="17771"/>
  <c r="CB120" i="17771" s="1"/>
  <c r="AD120" i="17771"/>
  <c r="BW120" i="17771" s="1"/>
  <c r="Z120" i="17771"/>
  <c r="BS120" i="17771" s="1"/>
  <c r="Y120" i="17771"/>
  <c r="BR120" i="17771" s="1"/>
  <c r="R120" i="17771"/>
  <c r="P120" i="17771"/>
  <c r="K120" i="17771"/>
  <c r="F120" i="17771"/>
  <c r="AR119" i="17771"/>
  <c r="AN119" i="17771"/>
  <c r="AL119" i="17771"/>
  <c r="AH119" i="17771"/>
  <c r="AG119" i="17771"/>
  <c r="AD119" i="17771"/>
  <c r="AC119" i="17771"/>
  <c r="BD119" i="17771" s="1"/>
  <c r="BD110" i="17771" s="1"/>
  <c r="V119" i="17771"/>
  <c r="U119" i="17771"/>
  <c r="S119" i="17771"/>
  <c r="R119" i="17771"/>
  <c r="Q119" i="17771"/>
  <c r="X119" i="17771" s="1"/>
  <c r="P119" i="17771"/>
  <c r="O119" i="17771"/>
  <c r="N119" i="17771"/>
  <c r="BA119" i="17771" s="1"/>
  <c r="L119" i="17771"/>
  <c r="K119" i="17771"/>
  <c r="J119" i="17771"/>
  <c r="I119" i="17771"/>
  <c r="G119" i="17771"/>
  <c r="F119" i="17771"/>
  <c r="E119" i="17771"/>
  <c r="D119" i="17771"/>
  <c r="CA119" i="17771" s="1"/>
  <c r="B119" i="17771"/>
  <c r="BZ117" i="17771"/>
  <c r="BV117" i="17771"/>
  <c r="AV117" i="17771"/>
  <c r="AP117" i="17771"/>
  <c r="AM117" i="17771"/>
  <c r="AJ117" i="17771"/>
  <c r="AG117" i="17771"/>
  <c r="AC117" i="17771"/>
  <c r="T117" i="17771"/>
  <c r="Q117" i="17771"/>
  <c r="M117" i="17771"/>
  <c r="AZ117" i="17771" s="1"/>
  <c r="H117" i="17771"/>
  <c r="C117" i="17771"/>
  <c r="CA116" i="17771"/>
  <c r="BX116" i="17771"/>
  <c r="BW116" i="17771"/>
  <c r="BF116" i="17771"/>
  <c r="BE116" i="17771"/>
  <c r="BB116" i="17771"/>
  <c r="BA116" i="17771"/>
  <c r="AX116" i="17771"/>
  <c r="AW116" i="17771"/>
  <c r="AR116" i="17771"/>
  <c r="AQ116" i="17771"/>
  <c r="AO116" i="17771"/>
  <c r="AN116" i="17771"/>
  <c r="AL116" i="17771"/>
  <c r="AK116" i="17771"/>
  <c r="AI116" i="17771"/>
  <c r="AH116" i="17771"/>
  <c r="AE116" i="17771"/>
  <c r="AF116" i="17771" s="1"/>
  <c r="AD116" i="17771"/>
  <c r="Z116" i="17771"/>
  <c r="BS116" i="17771" s="1"/>
  <c r="Y116" i="17771"/>
  <c r="BR116" i="17771" s="1"/>
  <c r="V116" i="17771"/>
  <c r="U116" i="17771"/>
  <c r="S116" i="17771"/>
  <c r="R116" i="17771"/>
  <c r="O116" i="17771"/>
  <c r="P116" i="17771" s="1"/>
  <c r="BI116" i="17771" s="1"/>
  <c r="N116" i="17771"/>
  <c r="K116" i="17771"/>
  <c r="BH116" i="17771" s="1"/>
  <c r="J116" i="17771"/>
  <c r="I116" i="17771"/>
  <c r="E116" i="17771"/>
  <c r="CB116" i="17771" s="1"/>
  <c r="D116" i="17771"/>
  <c r="CA115" i="17771"/>
  <c r="BX115" i="17771"/>
  <c r="BW115" i="17771"/>
  <c r="BF115" i="17771"/>
  <c r="BE115" i="17771"/>
  <c r="BB115" i="17771"/>
  <c r="BA115" i="17771"/>
  <c r="AX115" i="17771"/>
  <c r="AW115" i="17771"/>
  <c r="AR115" i="17771"/>
  <c r="AQ115" i="17771"/>
  <c r="AO115" i="17771"/>
  <c r="AN115" i="17771"/>
  <c r="AL115" i="17771"/>
  <c r="AK115" i="17771"/>
  <c r="AI115" i="17771"/>
  <c r="AH115" i="17771"/>
  <c r="AE115" i="17771"/>
  <c r="AF115" i="17771" s="1"/>
  <c r="AD115" i="17771"/>
  <c r="Z115" i="17771"/>
  <c r="BS115" i="17771" s="1"/>
  <c r="Y115" i="17771"/>
  <c r="BR115" i="17771" s="1"/>
  <c r="V115" i="17771"/>
  <c r="U115" i="17771"/>
  <c r="S115" i="17771"/>
  <c r="R115" i="17771"/>
  <c r="O115" i="17771"/>
  <c r="P115" i="17771" s="1"/>
  <c r="BI115" i="17771" s="1"/>
  <c r="N115" i="17771"/>
  <c r="K115" i="17771"/>
  <c r="BH115" i="17771" s="1"/>
  <c r="J115" i="17771"/>
  <c r="I115" i="17771"/>
  <c r="E115" i="17771"/>
  <c r="CB115" i="17771" s="1"/>
  <c r="D115" i="17771"/>
  <c r="CA114" i="17771"/>
  <c r="BW114" i="17771"/>
  <c r="BF114" i="17771"/>
  <c r="BE114" i="17771"/>
  <c r="BA114" i="17771"/>
  <c r="AX114" i="17771"/>
  <c r="AR114" i="17771"/>
  <c r="AQ114" i="17771"/>
  <c r="AO114" i="17771"/>
  <c r="AN114" i="17771"/>
  <c r="AL114" i="17771"/>
  <c r="AK114" i="17771"/>
  <c r="AI114" i="17771"/>
  <c r="AH114" i="17771"/>
  <c r="AE114" i="17771"/>
  <c r="AD114" i="17771"/>
  <c r="Z114" i="17771"/>
  <c r="BS114" i="17771" s="1"/>
  <c r="Y114" i="17771"/>
  <c r="BR114" i="17771" s="1"/>
  <c r="V114" i="17771"/>
  <c r="U114" i="17771"/>
  <c r="S114" i="17771"/>
  <c r="R114" i="17771"/>
  <c r="O114" i="17771"/>
  <c r="P114" i="17771" s="1"/>
  <c r="N114" i="17771"/>
  <c r="K114" i="17771"/>
  <c r="J114" i="17771"/>
  <c r="I114" i="17771"/>
  <c r="E114" i="17771"/>
  <c r="D114" i="17771"/>
  <c r="CA113" i="17771"/>
  <c r="BW113" i="17771"/>
  <c r="BE113" i="17771"/>
  <c r="BA113" i="17771"/>
  <c r="AW113" i="17771"/>
  <c r="AR113" i="17771"/>
  <c r="AQ113" i="17771"/>
  <c r="AQ112" i="17771" s="1"/>
  <c r="AO113" i="17771"/>
  <c r="AN113" i="17771"/>
  <c r="AL113" i="17771"/>
  <c r="AK113" i="17771"/>
  <c r="AK112" i="17771" s="1"/>
  <c r="AI113" i="17771"/>
  <c r="AH113" i="17771"/>
  <c r="AE113" i="17771"/>
  <c r="AE112" i="17771" s="1"/>
  <c r="AD113" i="17771"/>
  <c r="Z113" i="17771"/>
  <c r="Y113" i="17771"/>
  <c r="BR113" i="17771" s="1"/>
  <c r="V113" i="17771"/>
  <c r="U113" i="17771"/>
  <c r="S113" i="17771"/>
  <c r="R113" i="17771"/>
  <c r="O113" i="17771"/>
  <c r="P113" i="17771" s="1"/>
  <c r="N113" i="17771"/>
  <c r="K113" i="17771"/>
  <c r="J113" i="17771"/>
  <c r="I113" i="17771"/>
  <c r="E113" i="17771"/>
  <c r="D113" i="17771"/>
  <c r="CA112" i="17771"/>
  <c r="BW112" i="17771"/>
  <c r="BA112" i="17771"/>
  <c r="AR112" i="17771"/>
  <c r="AO112" i="17771"/>
  <c r="AN112" i="17771"/>
  <c r="AL112" i="17771"/>
  <c r="AI112" i="17771"/>
  <c r="AH112" i="17771"/>
  <c r="AD112" i="17771"/>
  <c r="Z112" i="17771"/>
  <c r="Y112" i="17771"/>
  <c r="BR112" i="17771" s="1"/>
  <c r="V112" i="17771"/>
  <c r="U112" i="17771"/>
  <c r="S112" i="17771"/>
  <c r="R112" i="17771"/>
  <c r="O112" i="17771"/>
  <c r="P112" i="17771" s="1"/>
  <c r="N112" i="17771"/>
  <c r="K112" i="17771"/>
  <c r="J112" i="17771"/>
  <c r="I112" i="17771"/>
  <c r="D112" i="17771"/>
  <c r="CA111" i="17771"/>
  <c r="BE111" i="17771"/>
  <c r="AW111" i="17771"/>
  <c r="AR111" i="17771"/>
  <c r="AQ111" i="17771"/>
  <c r="AO111" i="17771"/>
  <c r="AN111" i="17771"/>
  <c r="AL111" i="17771"/>
  <c r="AK111" i="17771"/>
  <c r="AI111" i="17771"/>
  <c r="AH111" i="17771"/>
  <c r="AE111" i="17771"/>
  <c r="AD111" i="17771"/>
  <c r="Z111" i="17771"/>
  <c r="Y111" i="17771"/>
  <c r="BR111" i="17771" s="1"/>
  <c r="V111" i="17771"/>
  <c r="U111" i="17771"/>
  <c r="S111" i="17771"/>
  <c r="R111" i="17771"/>
  <c r="O111" i="17771"/>
  <c r="N111" i="17771"/>
  <c r="BA111" i="17771" s="1"/>
  <c r="K111" i="17771"/>
  <c r="J111" i="17771"/>
  <c r="I111" i="17771"/>
  <c r="F111" i="17771"/>
  <c r="E111" i="17771"/>
  <c r="D111" i="17771"/>
  <c r="BZ110" i="17771"/>
  <c r="AZ110" i="17771"/>
  <c r="AR110" i="17771"/>
  <c r="AP110" i="17771"/>
  <c r="AO110" i="17771"/>
  <c r="AN110" i="17771"/>
  <c r="AM110" i="17771"/>
  <c r="AL110" i="17771"/>
  <c r="AJ110" i="17771"/>
  <c r="AH110" i="17771"/>
  <c r="AG110" i="17771"/>
  <c r="AC110" i="17771"/>
  <c r="V110" i="17771"/>
  <c r="U110" i="17771"/>
  <c r="T110" i="17771"/>
  <c r="S110" i="17771"/>
  <c r="R110" i="17771"/>
  <c r="Q110" i="17771"/>
  <c r="O110" i="17771"/>
  <c r="N110" i="17771"/>
  <c r="M110" i="17771"/>
  <c r="J110" i="17771"/>
  <c r="I110" i="17771"/>
  <c r="G110" i="17771" s="1"/>
  <c r="H110" i="17771"/>
  <c r="E110" i="17771"/>
  <c r="D110" i="17771"/>
  <c r="C110" i="17771"/>
  <c r="B110" i="17771" s="1"/>
  <c r="BZ109" i="17771"/>
  <c r="BV109" i="17771"/>
  <c r="BQ109" i="17771"/>
  <c r="BD109" i="17771"/>
  <c r="AZ109" i="17771"/>
  <c r="AV109" i="17771"/>
  <c r="X109" i="17771"/>
  <c r="BM109" i="17771" s="1"/>
  <c r="CB108" i="17771"/>
  <c r="CA108" i="17771"/>
  <c r="BX108" i="17771"/>
  <c r="BW108" i="17771"/>
  <c r="BI108" i="17771"/>
  <c r="BF108" i="17771"/>
  <c r="BE108" i="17771"/>
  <c r="BB108" i="17771"/>
  <c r="BA108" i="17771"/>
  <c r="AX108" i="17771"/>
  <c r="AW108" i="17771"/>
  <c r="AF108" i="17771"/>
  <c r="Z108" i="17771"/>
  <c r="BS108" i="17771" s="1"/>
  <c r="Y108" i="17771"/>
  <c r="BR108" i="17771" s="1"/>
  <c r="P108" i="17771"/>
  <c r="K108" i="17771"/>
  <c r="BH108" i="17771" s="1"/>
  <c r="F108" i="17771"/>
  <c r="BG108" i="17771" s="1"/>
  <c r="CB107" i="17771"/>
  <c r="CA107" i="17771"/>
  <c r="BX107" i="17771"/>
  <c r="BW107" i="17771"/>
  <c r="BS107" i="17771"/>
  <c r="BI107" i="17771"/>
  <c r="BG107" i="17771"/>
  <c r="BF107" i="17771"/>
  <c r="BE107" i="17771"/>
  <c r="BB107" i="17771"/>
  <c r="BA107" i="17771"/>
  <c r="AX107" i="17771"/>
  <c r="AW107" i="17771"/>
  <c r="AF107" i="17771"/>
  <c r="AA107" i="17771"/>
  <c r="Z107" i="17771"/>
  <c r="BO107" i="17771" s="1"/>
  <c r="Y107" i="17771"/>
  <c r="BR107" i="17771" s="1"/>
  <c r="P107" i="17771"/>
  <c r="K107" i="17771"/>
  <c r="BH107" i="17771" s="1"/>
  <c r="F107" i="17771"/>
  <c r="CB106" i="17771"/>
  <c r="CA106" i="17771"/>
  <c r="BX106" i="17771"/>
  <c r="BW106" i="17771"/>
  <c r="BF106" i="17771"/>
  <c r="BE106" i="17771"/>
  <c r="BB106" i="17771"/>
  <c r="BA106" i="17771"/>
  <c r="AX106" i="17771"/>
  <c r="AW106" i="17771"/>
  <c r="AF106" i="17771"/>
  <c r="Z106" i="17771"/>
  <c r="BS106" i="17771" s="1"/>
  <c r="Y106" i="17771"/>
  <c r="BR106" i="17771" s="1"/>
  <c r="P106" i="17771"/>
  <c r="BI106" i="17771" s="1"/>
  <c r="K106" i="17771"/>
  <c r="BH106" i="17771" s="1"/>
  <c r="F106" i="17771"/>
  <c r="BG106" i="17771" s="1"/>
  <c r="CB105" i="17771"/>
  <c r="CA105" i="17771"/>
  <c r="BX105" i="17771"/>
  <c r="BW105" i="17771"/>
  <c r="BN105" i="17771"/>
  <c r="BI105" i="17771"/>
  <c r="BF105" i="17771"/>
  <c r="BE105" i="17771"/>
  <c r="BB105" i="17771"/>
  <c r="BA105" i="17771"/>
  <c r="AX105" i="17771"/>
  <c r="AW105" i="17771"/>
  <c r="AF105" i="17771"/>
  <c r="Z105" i="17771"/>
  <c r="BO105" i="17771" s="1"/>
  <c r="Y105" i="17771"/>
  <c r="BR105" i="17771" s="1"/>
  <c r="P105" i="17771"/>
  <c r="K105" i="17771"/>
  <c r="BH105" i="17771" s="1"/>
  <c r="F105" i="17771"/>
  <c r="BG105" i="17771" s="1"/>
  <c r="CB104" i="17771"/>
  <c r="CA104" i="17771"/>
  <c r="BX104" i="17771"/>
  <c r="BW104" i="17771"/>
  <c r="BN104" i="17771"/>
  <c r="BI104" i="17771"/>
  <c r="BF104" i="17771"/>
  <c r="BE104" i="17771"/>
  <c r="BB104" i="17771"/>
  <c r="BA104" i="17771"/>
  <c r="AX104" i="17771"/>
  <c r="AW104" i="17771"/>
  <c r="AF104" i="17771"/>
  <c r="Z104" i="17771"/>
  <c r="BO104" i="17771" s="1"/>
  <c r="Y104" i="17771"/>
  <c r="BR104" i="17771" s="1"/>
  <c r="P104" i="17771"/>
  <c r="K104" i="17771"/>
  <c r="BH104" i="17771" s="1"/>
  <c r="F104" i="17771"/>
  <c r="BG104" i="17771" s="1"/>
  <c r="CB103" i="17771"/>
  <c r="CA103" i="17771"/>
  <c r="BX103" i="17771"/>
  <c r="BX102" i="17771" s="1"/>
  <c r="BW103" i="17771"/>
  <c r="BW102" i="17771" s="1"/>
  <c r="BU102" i="17771" s="1"/>
  <c r="BN103" i="17771"/>
  <c r="BI103" i="17771"/>
  <c r="BF103" i="17771"/>
  <c r="BE103" i="17771"/>
  <c r="BB103" i="17771"/>
  <c r="BA103" i="17771"/>
  <c r="AX103" i="17771"/>
  <c r="AW103" i="17771"/>
  <c r="AF103" i="17771"/>
  <c r="Z103" i="17771"/>
  <c r="BO103" i="17771" s="1"/>
  <c r="Y103" i="17771"/>
  <c r="BR103" i="17771" s="1"/>
  <c r="P103" i="17771"/>
  <c r="K103" i="17771"/>
  <c r="BH103" i="17771" s="1"/>
  <c r="F103" i="17771"/>
  <c r="BG103" i="17771" s="1"/>
  <c r="CB102" i="17771"/>
  <c r="BZ102" i="17771"/>
  <c r="BV102" i="17771"/>
  <c r="BF102" i="17771"/>
  <c r="BE102" i="17771"/>
  <c r="BD102" i="17771"/>
  <c r="BC102" i="17771"/>
  <c r="BB102" i="17771"/>
  <c r="AZ102" i="17771"/>
  <c r="AX102" i="17771"/>
  <c r="AW102" i="17771"/>
  <c r="AV102" i="17771"/>
  <c r="AU102" i="17771"/>
  <c r="AR102" i="17771"/>
  <c r="AQ102" i="17771"/>
  <c r="AO102" i="17771"/>
  <c r="AN102" i="17771"/>
  <c r="AL102" i="17771"/>
  <c r="AK102" i="17771"/>
  <c r="AI102" i="17771"/>
  <c r="AH102" i="17771"/>
  <c r="AF102" i="17771"/>
  <c r="AE102" i="17771"/>
  <c r="AD102" i="17771"/>
  <c r="AB102" i="17771"/>
  <c r="X102" i="17771"/>
  <c r="BQ102" i="17771" s="1"/>
  <c r="V102" i="17771"/>
  <c r="U102" i="17771"/>
  <c r="S102" i="17771"/>
  <c r="R102" i="17771"/>
  <c r="P102" i="17771"/>
  <c r="BI102" i="17771" s="1"/>
  <c r="O102" i="17771"/>
  <c r="N102" i="17771"/>
  <c r="BA102" i="17771" s="1"/>
  <c r="L102" i="17771"/>
  <c r="AY102" i="17771" s="1"/>
  <c r="K102" i="17771"/>
  <c r="BH102" i="17771" s="1"/>
  <c r="J102" i="17771"/>
  <c r="I102" i="17771"/>
  <c r="G102" i="17771"/>
  <c r="F102" i="17771"/>
  <c r="BG102" i="17771" s="1"/>
  <c r="E102" i="17771"/>
  <c r="D102" i="17771"/>
  <c r="CA102" i="17771" s="1"/>
  <c r="B102" i="17771"/>
  <c r="BY102" i="17771" s="1"/>
  <c r="BZ101" i="17771"/>
  <c r="BV101" i="17771"/>
  <c r="BD101" i="17771"/>
  <c r="AZ101" i="17771"/>
  <c r="AV101" i="17771"/>
  <c r="X101" i="17771"/>
  <c r="BQ101" i="17771" s="1"/>
  <c r="CB100" i="17771"/>
  <c r="CA100" i="17771"/>
  <c r="BX100" i="17771"/>
  <c r="BW100" i="17771"/>
  <c r="BN100" i="17771"/>
  <c r="BI100" i="17771"/>
  <c r="BF100" i="17771"/>
  <c r="BE100" i="17771"/>
  <c r="BB100" i="17771"/>
  <c r="BA100" i="17771"/>
  <c r="AX100" i="17771"/>
  <c r="AW100" i="17771"/>
  <c r="AF100" i="17771"/>
  <c r="Z100" i="17771"/>
  <c r="BO100" i="17771" s="1"/>
  <c r="Y100" i="17771"/>
  <c r="BR100" i="17771" s="1"/>
  <c r="P100" i="17771"/>
  <c r="K100" i="17771"/>
  <c r="BH100" i="17771" s="1"/>
  <c r="F100" i="17771"/>
  <c r="BG100" i="17771" s="1"/>
  <c r="CB99" i="17771"/>
  <c r="CA99" i="17771"/>
  <c r="BX99" i="17771"/>
  <c r="BW99" i="17771"/>
  <c r="BN99" i="17771"/>
  <c r="BI99" i="17771"/>
  <c r="BF99" i="17771"/>
  <c r="BE99" i="17771"/>
  <c r="BB99" i="17771"/>
  <c r="BA99" i="17771"/>
  <c r="AX99" i="17771"/>
  <c r="AW99" i="17771"/>
  <c r="AF99" i="17771"/>
  <c r="Z99" i="17771"/>
  <c r="Y99" i="17771"/>
  <c r="BR99" i="17771" s="1"/>
  <c r="P99" i="17771"/>
  <c r="K99" i="17771"/>
  <c r="BH99" i="17771" s="1"/>
  <c r="F99" i="17771"/>
  <c r="BG99" i="17771" s="1"/>
  <c r="CB98" i="17771"/>
  <c r="CA98" i="17771"/>
  <c r="BX98" i="17771"/>
  <c r="BW98" i="17771"/>
  <c r="BN98" i="17771"/>
  <c r="BI98" i="17771"/>
  <c r="BF98" i="17771"/>
  <c r="BE98" i="17771"/>
  <c r="BB98" i="17771"/>
  <c r="BA98" i="17771"/>
  <c r="AX98" i="17771"/>
  <c r="AW98" i="17771"/>
  <c r="AF98" i="17771"/>
  <c r="Z98" i="17771"/>
  <c r="Y98" i="17771"/>
  <c r="BR98" i="17771" s="1"/>
  <c r="P98" i="17771"/>
  <c r="K98" i="17771"/>
  <c r="BH98" i="17771" s="1"/>
  <c r="F98" i="17771"/>
  <c r="BG98" i="17771" s="1"/>
  <c r="CB97" i="17771"/>
  <c r="CA97" i="17771"/>
  <c r="BX97" i="17771"/>
  <c r="BW97" i="17771"/>
  <c r="BN97" i="17771"/>
  <c r="BI97" i="17771"/>
  <c r="BF97" i="17771"/>
  <c r="BE97" i="17771"/>
  <c r="BB97" i="17771"/>
  <c r="BA97" i="17771"/>
  <c r="AX97" i="17771"/>
  <c r="AW97" i="17771"/>
  <c r="AF97" i="17771"/>
  <c r="Z97" i="17771"/>
  <c r="Y97" i="17771"/>
  <c r="BR97" i="17771" s="1"/>
  <c r="P97" i="17771"/>
  <c r="K97" i="17771"/>
  <c r="BH97" i="17771" s="1"/>
  <c r="F97" i="17771"/>
  <c r="BG97" i="17771" s="1"/>
  <c r="CB96" i="17771"/>
  <c r="CA96" i="17771"/>
  <c r="BX96" i="17771"/>
  <c r="BW96" i="17771"/>
  <c r="BN96" i="17771"/>
  <c r="BI96" i="17771"/>
  <c r="BF96" i="17771"/>
  <c r="BE96" i="17771"/>
  <c r="BB96" i="17771"/>
  <c r="BA96" i="17771"/>
  <c r="AX96" i="17771"/>
  <c r="AW96" i="17771"/>
  <c r="AF96" i="17771"/>
  <c r="Z96" i="17771"/>
  <c r="Y96" i="17771"/>
  <c r="BR96" i="17771" s="1"/>
  <c r="P96" i="17771"/>
  <c r="K96" i="17771"/>
  <c r="BH96" i="17771" s="1"/>
  <c r="F96" i="17771"/>
  <c r="BG96" i="17771" s="1"/>
  <c r="CB95" i="17771"/>
  <c r="CA95" i="17771"/>
  <c r="BX95" i="17771"/>
  <c r="BX94" i="17771" s="1"/>
  <c r="BW95" i="17771"/>
  <c r="BW94" i="17771" s="1"/>
  <c r="BU94" i="17771" s="1"/>
  <c r="BN95" i="17771"/>
  <c r="BI95" i="17771"/>
  <c r="BF95" i="17771"/>
  <c r="BF94" i="17771" s="1"/>
  <c r="BE95" i="17771"/>
  <c r="BB95" i="17771"/>
  <c r="BA95" i="17771"/>
  <c r="AX95" i="17771"/>
  <c r="AW95" i="17771"/>
  <c r="AF95" i="17771"/>
  <c r="Z95" i="17771"/>
  <c r="Y95" i="17771"/>
  <c r="BR95" i="17771" s="1"/>
  <c r="P95" i="17771"/>
  <c r="K95" i="17771"/>
  <c r="BH95" i="17771" s="1"/>
  <c r="F95" i="17771"/>
  <c r="BG95" i="17771" s="1"/>
  <c r="CB94" i="17771"/>
  <c r="BZ94" i="17771"/>
  <c r="BY94" i="17771"/>
  <c r="BV94" i="17771"/>
  <c r="BE94" i="17771"/>
  <c r="BD94" i="17771"/>
  <c r="BC94" i="17771"/>
  <c r="BB94" i="17771"/>
  <c r="AZ94" i="17771"/>
  <c r="AX94" i="17771"/>
  <c r="AW94" i="17771"/>
  <c r="AV94" i="17771"/>
  <c r="AU94" i="17771"/>
  <c r="AR94" i="17771"/>
  <c r="AQ94" i="17771"/>
  <c r="AO94" i="17771"/>
  <c r="AN94" i="17771"/>
  <c r="AL94" i="17771"/>
  <c r="AK94" i="17771"/>
  <c r="AI94" i="17771"/>
  <c r="AH94" i="17771"/>
  <c r="AF94" i="17771"/>
  <c r="AE94" i="17771"/>
  <c r="AD94" i="17771"/>
  <c r="AB94" i="17771"/>
  <c r="X94" i="17771"/>
  <c r="BQ94" i="17771" s="1"/>
  <c r="V94" i="17771"/>
  <c r="U94" i="17771"/>
  <c r="S94" i="17771"/>
  <c r="R94" i="17771"/>
  <c r="P94" i="17771"/>
  <c r="BI94" i="17771" s="1"/>
  <c r="O94" i="17771"/>
  <c r="N94" i="17771"/>
  <c r="BA94" i="17771" s="1"/>
  <c r="L94" i="17771"/>
  <c r="AY94" i="17771" s="1"/>
  <c r="K94" i="17771"/>
  <c r="BH94" i="17771" s="1"/>
  <c r="J94" i="17771"/>
  <c r="I94" i="17771"/>
  <c r="G94" i="17771"/>
  <c r="F94" i="17771"/>
  <c r="BG94" i="17771" s="1"/>
  <c r="E94" i="17771"/>
  <c r="D94" i="17771"/>
  <c r="CA94" i="17771" s="1"/>
  <c r="B94" i="17771"/>
  <c r="BZ93" i="17771"/>
  <c r="BV93" i="17771"/>
  <c r="BD93" i="17771"/>
  <c r="AZ93" i="17771"/>
  <c r="AV93" i="17771"/>
  <c r="X93" i="17771"/>
  <c r="BQ93" i="17771" s="1"/>
  <c r="CB92" i="17771"/>
  <c r="CA92" i="17771"/>
  <c r="BX92" i="17771"/>
  <c r="BW92" i="17771"/>
  <c r="BN92" i="17771"/>
  <c r="BI92" i="17771"/>
  <c r="BF92" i="17771"/>
  <c r="BE92" i="17771"/>
  <c r="BB92" i="17771"/>
  <c r="BA92" i="17771"/>
  <c r="AX92" i="17771"/>
  <c r="AW92" i="17771"/>
  <c r="AF92" i="17771"/>
  <c r="Z92" i="17771"/>
  <c r="Y92" i="17771"/>
  <c r="BR92" i="17771" s="1"/>
  <c r="P92" i="17771"/>
  <c r="K92" i="17771"/>
  <c r="BH92" i="17771" s="1"/>
  <c r="F92" i="17771"/>
  <c r="BG92" i="17771" s="1"/>
  <c r="CB91" i="17771"/>
  <c r="CA91" i="17771"/>
  <c r="BX91" i="17771"/>
  <c r="BW91" i="17771"/>
  <c r="BN91" i="17771"/>
  <c r="BI91" i="17771"/>
  <c r="BF91" i="17771"/>
  <c r="BE91" i="17771"/>
  <c r="BB91" i="17771"/>
  <c r="BA91" i="17771"/>
  <c r="AX91" i="17771"/>
  <c r="AW91" i="17771"/>
  <c r="AF91" i="17771"/>
  <c r="Z91" i="17771"/>
  <c r="Y91" i="17771"/>
  <c r="BR91" i="17771" s="1"/>
  <c r="P91" i="17771"/>
  <c r="K91" i="17771"/>
  <c r="BH91" i="17771" s="1"/>
  <c r="F91" i="17771"/>
  <c r="BG91" i="17771" s="1"/>
  <c r="CB90" i="17771"/>
  <c r="CA90" i="17771"/>
  <c r="BX90" i="17771"/>
  <c r="BW90" i="17771"/>
  <c r="BN90" i="17771"/>
  <c r="BI90" i="17771"/>
  <c r="BF90" i="17771"/>
  <c r="BE90" i="17771"/>
  <c r="BB90" i="17771"/>
  <c r="BA90" i="17771"/>
  <c r="AX90" i="17771"/>
  <c r="AW90" i="17771"/>
  <c r="AF90" i="17771"/>
  <c r="Z90" i="17771"/>
  <c r="Y90" i="17771"/>
  <c r="BR90" i="17771" s="1"/>
  <c r="P90" i="17771"/>
  <c r="K90" i="17771"/>
  <c r="BH90" i="17771" s="1"/>
  <c r="F90" i="17771"/>
  <c r="BG90" i="17771" s="1"/>
  <c r="CB89" i="17771"/>
  <c r="CA89" i="17771"/>
  <c r="BX89" i="17771"/>
  <c r="BW89" i="17771"/>
  <c r="BN89" i="17771"/>
  <c r="BI89" i="17771"/>
  <c r="BF89" i="17771"/>
  <c r="BE89" i="17771"/>
  <c r="BB89" i="17771"/>
  <c r="BA89" i="17771"/>
  <c r="AX89" i="17771"/>
  <c r="AW89" i="17771"/>
  <c r="AF89" i="17771"/>
  <c r="Z89" i="17771"/>
  <c r="Y89" i="17771"/>
  <c r="BR89" i="17771" s="1"/>
  <c r="P89" i="17771"/>
  <c r="K89" i="17771"/>
  <c r="BH89" i="17771" s="1"/>
  <c r="F89" i="17771"/>
  <c r="BG89" i="17771" s="1"/>
  <c r="CB88" i="17771"/>
  <c r="CA88" i="17771"/>
  <c r="BX88" i="17771"/>
  <c r="BW88" i="17771"/>
  <c r="BN88" i="17771"/>
  <c r="BI88" i="17771"/>
  <c r="BF88" i="17771"/>
  <c r="BF86" i="17771" s="1"/>
  <c r="BE88" i="17771"/>
  <c r="BB88" i="17771"/>
  <c r="BA88" i="17771"/>
  <c r="AX88" i="17771"/>
  <c r="AW88" i="17771"/>
  <c r="AF88" i="17771"/>
  <c r="Z88" i="17771"/>
  <c r="Z86" i="17771" s="1"/>
  <c r="Y88" i="17771"/>
  <c r="BR88" i="17771" s="1"/>
  <c r="P88" i="17771"/>
  <c r="K88" i="17771"/>
  <c r="BH88" i="17771" s="1"/>
  <c r="F88" i="17771"/>
  <c r="BG88" i="17771" s="1"/>
  <c r="CB87" i="17771"/>
  <c r="CA87" i="17771"/>
  <c r="BX87" i="17771"/>
  <c r="BW87" i="17771"/>
  <c r="BW86" i="17771" s="1"/>
  <c r="BN87" i="17771"/>
  <c r="BN86" i="17771" s="1"/>
  <c r="BI87" i="17771"/>
  <c r="BF87" i="17771"/>
  <c r="BE87" i="17771"/>
  <c r="BB87" i="17771"/>
  <c r="BA87" i="17771"/>
  <c r="AX87" i="17771"/>
  <c r="AW87" i="17771"/>
  <c r="AF87" i="17771"/>
  <c r="Z87" i="17771"/>
  <c r="Y87" i="17771"/>
  <c r="BR87" i="17771" s="1"/>
  <c r="P87" i="17771"/>
  <c r="K87" i="17771"/>
  <c r="BH87" i="17771" s="1"/>
  <c r="F87" i="17771"/>
  <c r="BG87" i="17771" s="1"/>
  <c r="CB86" i="17771"/>
  <c r="BZ86" i="17771"/>
  <c r="BY86" i="17771"/>
  <c r="BX86" i="17771"/>
  <c r="BV86" i="17771"/>
  <c r="BU86" i="17771"/>
  <c r="BE86" i="17771"/>
  <c r="BC86" i="17771" s="1"/>
  <c r="BD86" i="17771"/>
  <c r="BB86" i="17771"/>
  <c r="BA86" i="17771"/>
  <c r="AZ86" i="17771"/>
  <c r="AX86" i="17771"/>
  <c r="AW86" i="17771"/>
  <c r="AV86" i="17771"/>
  <c r="AU86" i="17771"/>
  <c r="AR86" i="17771"/>
  <c r="AQ86" i="17771"/>
  <c r="AO86" i="17771"/>
  <c r="AN86" i="17771"/>
  <c r="AL86" i="17771"/>
  <c r="AK86" i="17771"/>
  <c r="AI86" i="17771"/>
  <c r="AH86" i="17771"/>
  <c r="AF86" i="17771"/>
  <c r="AE86" i="17771"/>
  <c r="AD86" i="17771"/>
  <c r="AB86" i="17771"/>
  <c r="X86" i="17771"/>
  <c r="V86" i="17771"/>
  <c r="U86" i="17771"/>
  <c r="S86" i="17771"/>
  <c r="R86" i="17771"/>
  <c r="P86" i="17771"/>
  <c r="BI86" i="17771" s="1"/>
  <c r="O86" i="17771"/>
  <c r="N86" i="17771"/>
  <c r="L86" i="17771"/>
  <c r="AY86" i="17771" s="1"/>
  <c r="K86" i="17771"/>
  <c r="BH86" i="17771" s="1"/>
  <c r="J86" i="17771"/>
  <c r="I86" i="17771"/>
  <c r="G86" i="17771"/>
  <c r="F86" i="17771"/>
  <c r="BG86" i="17771" s="1"/>
  <c r="E86" i="17771"/>
  <c r="D86" i="17771"/>
  <c r="CA86" i="17771" s="1"/>
  <c r="B86" i="17771"/>
  <c r="BZ85" i="17771"/>
  <c r="BV85" i="17771"/>
  <c r="BD85" i="17771"/>
  <c r="AZ85" i="17771"/>
  <c r="AV85" i="17771"/>
  <c r="X85" i="17771"/>
  <c r="BM85" i="17771" s="1"/>
  <c r="CB84" i="17771"/>
  <c r="CA84" i="17771"/>
  <c r="BX84" i="17771"/>
  <c r="BW84" i="17771"/>
  <c r="BS84" i="17771"/>
  <c r="BI84" i="17771"/>
  <c r="BG84" i="17771"/>
  <c r="BF84" i="17771"/>
  <c r="BE84" i="17771"/>
  <c r="BB84" i="17771"/>
  <c r="BA84" i="17771"/>
  <c r="AX84" i="17771"/>
  <c r="AW84" i="17771"/>
  <c r="AF84" i="17771"/>
  <c r="AA84" i="17771"/>
  <c r="Z84" i="17771"/>
  <c r="BO84" i="17771" s="1"/>
  <c r="Y84" i="17771"/>
  <c r="BR84" i="17771" s="1"/>
  <c r="P84" i="17771"/>
  <c r="K84" i="17771"/>
  <c r="BH84" i="17771" s="1"/>
  <c r="F84" i="17771"/>
  <c r="CB83" i="17771"/>
  <c r="CA83" i="17771"/>
  <c r="BX83" i="17771"/>
  <c r="BW83" i="17771"/>
  <c r="BI83" i="17771"/>
  <c r="BF83" i="17771"/>
  <c r="BE83" i="17771"/>
  <c r="BB83" i="17771"/>
  <c r="BA83" i="17771"/>
  <c r="AX83" i="17771"/>
  <c r="AW83" i="17771"/>
  <c r="AF83" i="17771"/>
  <c r="Z83" i="17771"/>
  <c r="BO83" i="17771" s="1"/>
  <c r="Y83" i="17771"/>
  <c r="BR83" i="17771" s="1"/>
  <c r="P83" i="17771"/>
  <c r="K83" i="17771"/>
  <c r="BH83" i="17771" s="1"/>
  <c r="F83" i="17771"/>
  <c r="BG83" i="17771" s="1"/>
  <c r="CB82" i="17771"/>
  <c r="CA82" i="17771"/>
  <c r="BX82" i="17771"/>
  <c r="BW82" i="17771"/>
  <c r="BS82" i="17771"/>
  <c r="BI82" i="17771"/>
  <c r="BG82" i="17771"/>
  <c r="BF82" i="17771"/>
  <c r="BE82" i="17771"/>
  <c r="BB82" i="17771"/>
  <c r="BA82" i="17771"/>
  <c r="AX82" i="17771"/>
  <c r="AW82" i="17771"/>
  <c r="AF82" i="17771"/>
  <c r="AA82" i="17771"/>
  <c r="Z82" i="17771"/>
  <c r="BO82" i="17771" s="1"/>
  <c r="Y82" i="17771"/>
  <c r="BR82" i="17771" s="1"/>
  <c r="P82" i="17771"/>
  <c r="K82" i="17771"/>
  <c r="BH82" i="17771" s="1"/>
  <c r="F82" i="17771"/>
  <c r="CB81" i="17771"/>
  <c r="CA81" i="17771"/>
  <c r="BX81" i="17771"/>
  <c r="BW81" i="17771"/>
  <c r="BI81" i="17771"/>
  <c r="BF81" i="17771"/>
  <c r="BE81" i="17771"/>
  <c r="BB81" i="17771"/>
  <c r="BA81" i="17771"/>
  <c r="AX81" i="17771"/>
  <c r="AW81" i="17771"/>
  <c r="AF81" i="17771"/>
  <c r="Z81" i="17771"/>
  <c r="BO81" i="17771" s="1"/>
  <c r="Y81" i="17771"/>
  <c r="BR81" i="17771" s="1"/>
  <c r="P81" i="17771"/>
  <c r="K81" i="17771"/>
  <c r="BH81" i="17771" s="1"/>
  <c r="F81" i="17771"/>
  <c r="BG81" i="17771" s="1"/>
  <c r="CB80" i="17771"/>
  <c r="CA80" i="17771"/>
  <c r="BX80" i="17771"/>
  <c r="BW80" i="17771"/>
  <c r="BS80" i="17771"/>
  <c r="BI80" i="17771"/>
  <c r="BG80" i="17771"/>
  <c r="BF80" i="17771"/>
  <c r="BE80" i="17771"/>
  <c r="BB80" i="17771"/>
  <c r="BA80" i="17771"/>
  <c r="AX80" i="17771"/>
  <c r="AW80" i="17771"/>
  <c r="AF80" i="17771"/>
  <c r="AA80" i="17771"/>
  <c r="Z80" i="17771"/>
  <c r="BO80" i="17771" s="1"/>
  <c r="Y80" i="17771"/>
  <c r="BR80" i="17771" s="1"/>
  <c r="P80" i="17771"/>
  <c r="K80" i="17771"/>
  <c r="BH80" i="17771" s="1"/>
  <c r="F80" i="17771"/>
  <c r="CB79" i="17771"/>
  <c r="CA79" i="17771"/>
  <c r="BX79" i="17771"/>
  <c r="BX78" i="17771" s="1"/>
  <c r="BW79" i="17771"/>
  <c r="BI79" i="17771"/>
  <c r="BF79" i="17771"/>
  <c r="BE79" i="17771"/>
  <c r="BE78" i="17771" s="1"/>
  <c r="BC78" i="17771" s="1"/>
  <c r="BB79" i="17771"/>
  <c r="BA79" i="17771"/>
  <c r="AX79" i="17771"/>
  <c r="AW79" i="17771"/>
  <c r="AW78" i="17771" s="1"/>
  <c r="AU78" i="17771" s="1"/>
  <c r="AF79" i="17771"/>
  <c r="Z79" i="17771"/>
  <c r="BO79" i="17771" s="1"/>
  <c r="BO78" i="17771" s="1"/>
  <c r="Y79" i="17771"/>
  <c r="BR79" i="17771" s="1"/>
  <c r="P79" i="17771"/>
  <c r="K79" i="17771"/>
  <c r="BH79" i="17771" s="1"/>
  <c r="F79" i="17771"/>
  <c r="BG79" i="17771" s="1"/>
  <c r="CB78" i="17771"/>
  <c r="BZ78" i="17771"/>
  <c r="BV78" i="17771"/>
  <c r="BG78" i="17771"/>
  <c r="BF78" i="17771"/>
  <c r="BD78" i="17771"/>
  <c r="BB78" i="17771"/>
  <c r="AZ78" i="17771"/>
  <c r="AX78" i="17771"/>
  <c r="AV78" i="17771"/>
  <c r="AR78" i="17771"/>
  <c r="AQ78" i="17771"/>
  <c r="AO78" i="17771"/>
  <c r="AN78" i="17771"/>
  <c r="AL78" i="17771"/>
  <c r="AK78" i="17771"/>
  <c r="AI78" i="17771"/>
  <c r="AH78" i="17771"/>
  <c r="AF78" i="17771"/>
  <c r="AE78" i="17771"/>
  <c r="AD78" i="17771"/>
  <c r="AB78" i="17771"/>
  <c r="X78" i="17771"/>
  <c r="BQ78" i="17771" s="1"/>
  <c r="V78" i="17771"/>
  <c r="U78" i="17771"/>
  <c r="S78" i="17771"/>
  <c r="R78" i="17771"/>
  <c r="P78" i="17771"/>
  <c r="BI78" i="17771" s="1"/>
  <c r="O78" i="17771"/>
  <c r="N78" i="17771"/>
  <c r="BA78" i="17771" s="1"/>
  <c r="L78" i="17771"/>
  <c r="AY78" i="17771" s="1"/>
  <c r="K78" i="17771"/>
  <c r="BH78" i="17771" s="1"/>
  <c r="J78" i="17771"/>
  <c r="I78" i="17771"/>
  <c r="G78" i="17771"/>
  <c r="F78" i="17771"/>
  <c r="E78" i="17771"/>
  <c r="D78" i="17771"/>
  <c r="CA78" i="17771" s="1"/>
  <c r="B78" i="17771"/>
  <c r="BY78" i="17771" s="1"/>
  <c r="BZ77" i="17771"/>
  <c r="BV77" i="17771"/>
  <c r="BD77" i="17771"/>
  <c r="AZ77" i="17771"/>
  <c r="AV77" i="17771"/>
  <c r="X77" i="17771"/>
  <c r="BQ77" i="17771" s="1"/>
  <c r="CB76" i="17771"/>
  <c r="CA76" i="17771"/>
  <c r="BX76" i="17771"/>
  <c r="BW76" i="17771"/>
  <c r="BN76" i="17771"/>
  <c r="BI76" i="17771"/>
  <c r="BF76" i="17771"/>
  <c r="BE76" i="17771"/>
  <c r="BB76" i="17771"/>
  <c r="BA76" i="17771"/>
  <c r="AX76" i="17771"/>
  <c r="AW76" i="17771"/>
  <c r="AF76" i="17771"/>
  <c r="Z76" i="17771"/>
  <c r="BO76" i="17771" s="1"/>
  <c r="Y76" i="17771"/>
  <c r="BR76" i="17771" s="1"/>
  <c r="P76" i="17771"/>
  <c r="K76" i="17771"/>
  <c r="BH76" i="17771" s="1"/>
  <c r="F76" i="17771"/>
  <c r="BG76" i="17771" s="1"/>
  <c r="CB75" i="17771"/>
  <c r="CA75" i="17771"/>
  <c r="BX75" i="17771"/>
  <c r="BW75" i="17771"/>
  <c r="BN75" i="17771"/>
  <c r="BI75" i="17771"/>
  <c r="BF75" i="17771"/>
  <c r="BE75" i="17771"/>
  <c r="BB75" i="17771"/>
  <c r="BA75" i="17771"/>
  <c r="AX75" i="17771"/>
  <c r="AW75" i="17771"/>
  <c r="AF75" i="17771"/>
  <c r="Z75" i="17771"/>
  <c r="BO75" i="17771" s="1"/>
  <c r="Y75" i="17771"/>
  <c r="BR75" i="17771" s="1"/>
  <c r="P75" i="17771"/>
  <c r="K75" i="17771"/>
  <c r="BH75" i="17771" s="1"/>
  <c r="F75" i="17771"/>
  <c r="BG75" i="17771" s="1"/>
  <c r="CB74" i="17771"/>
  <c r="CA74" i="17771"/>
  <c r="BX74" i="17771"/>
  <c r="BW74" i="17771"/>
  <c r="BN74" i="17771"/>
  <c r="BI74" i="17771"/>
  <c r="BF74" i="17771"/>
  <c r="BE74" i="17771"/>
  <c r="BB74" i="17771"/>
  <c r="BA74" i="17771"/>
  <c r="AX74" i="17771"/>
  <c r="AW74" i="17771"/>
  <c r="AF74" i="17771"/>
  <c r="Z74" i="17771"/>
  <c r="BO74" i="17771" s="1"/>
  <c r="Y74" i="17771"/>
  <c r="BR74" i="17771" s="1"/>
  <c r="P74" i="17771"/>
  <c r="K74" i="17771"/>
  <c r="BH74" i="17771" s="1"/>
  <c r="F74" i="17771"/>
  <c r="BG74" i="17771" s="1"/>
  <c r="CB73" i="17771"/>
  <c r="CA73" i="17771"/>
  <c r="BX73" i="17771"/>
  <c r="BW73" i="17771"/>
  <c r="BN73" i="17771"/>
  <c r="BI73" i="17771"/>
  <c r="BF73" i="17771"/>
  <c r="BE73" i="17771"/>
  <c r="BB73" i="17771"/>
  <c r="BA73" i="17771"/>
  <c r="AX73" i="17771"/>
  <c r="AW73" i="17771"/>
  <c r="AF73" i="17771"/>
  <c r="Z73" i="17771"/>
  <c r="BO73" i="17771" s="1"/>
  <c r="Y73" i="17771"/>
  <c r="BR73" i="17771" s="1"/>
  <c r="P73" i="17771"/>
  <c r="K73" i="17771"/>
  <c r="BH73" i="17771" s="1"/>
  <c r="F73" i="17771"/>
  <c r="BG73" i="17771" s="1"/>
  <c r="CB72" i="17771"/>
  <c r="CA72" i="17771"/>
  <c r="BX72" i="17771"/>
  <c r="BW72" i="17771"/>
  <c r="BN72" i="17771"/>
  <c r="BI72" i="17771"/>
  <c r="BF72" i="17771"/>
  <c r="BE72" i="17771"/>
  <c r="BB72" i="17771"/>
  <c r="BA72" i="17771"/>
  <c r="AX72" i="17771"/>
  <c r="AW72" i="17771"/>
  <c r="AF72" i="17771"/>
  <c r="Z72" i="17771"/>
  <c r="BO72" i="17771" s="1"/>
  <c r="Y72" i="17771"/>
  <c r="BR72" i="17771" s="1"/>
  <c r="P72" i="17771"/>
  <c r="K72" i="17771"/>
  <c r="BH72" i="17771" s="1"/>
  <c r="F72" i="17771"/>
  <c r="BG72" i="17771" s="1"/>
  <c r="CB71" i="17771"/>
  <c r="CA71" i="17771"/>
  <c r="BX71" i="17771"/>
  <c r="BX70" i="17771" s="1"/>
  <c r="BW71" i="17771"/>
  <c r="BW70" i="17771" s="1"/>
  <c r="BU70" i="17771" s="1"/>
  <c r="BN71" i="17771"/>
  <c r="BN70" i="17771" s="1"/>
  <c r="BI71" i="17771"/>
  <c r="BF71" i="17771"/>
  <c r="BE71" i="17771"/>
  <c r="BB71" i="17771"/>
  <c r="BA71" i="17771"/>
  <c r="AX71" i="17771"/>
  <c r="AW71" i="17771"/>
  <c r="AF71" i="17771"/>
  <c r="Z71" i="17771"/>
  <c r="BO71" i="17771" s="1"/>
  <c r="BO70" i="17771" s="1"/>
  <c r="Y71" i="17771"/>
  <c r="BR71" i="17771" s="1"/>
  <c r="P71" i="17771"/>
  <c r="K71" i="17771"/>
  <c r="BH71" i="17771" s="1"/>
  <c r="F71" i="17771"/>
  <c r="BG71" i="17771" s="1"/>
  <c r="CB70" i="17771"/>
  <c r="BZ70" i="17771"/>
  <c r="BV70" i="17771"/>
  <c r="BF70" i="17771"/>
  <c r="BE70" i="17771"/>
  <c r="BD70" i="17771"/>
  <c r="BC70" i="17771"/>
  <c r="BB70" i="17771"/>
  <c r="AZ70" i="17771"/>
  <c r="AX70" i="17771"/>
  <c r="AW70" i="17771"/>
  <c r="AV70" i="17771"/>
  <c r="AU70" i="17771"/>
  <c r="AR70" i="17771"/>
  <c r="AQ70" i="17771"/>
  <c r="AO70" i="17771"/>
  <c r="AN70" i="17771"/>
  <c r="AL70" i="17771"/>
  <c r="AK70" i="17771"/>
  <c r="AI70" i="17771"/>
  <c r="AH70" i="17771"/>
  <c r="AF70" i="17771"/>
  <c r="AE70" i="17771"/>
  <c r="AD70" i="17771"/>
  <c r="AB70" i="17771"/>
  <c r="X70" i="17771"/>
  <c r="BQ70" i="17771" s="1"/>
  <c r="V70" i="17771"/>
  <c r="U70" i="17771"/>
  <c r="S70" i="17771"/>
  <c r="R70" i="17771"/>
  <c r="P70" i="17771"/>
  <c r="BI70" i="17771" s="1"/>
  <c r="O70" i="17771"/>
  <c r="N70" i="17771"/>
  <c r="BA70" i="17771" s="1"/>
  <c r="L70" i="17771"/>
  <c r="AY70" i="17771" s="1"/>
  <c r="K70" i="17771"/>
  <c r="BH70" i="17771" s="1"/>
  <c r="J70" i="17771"/>
  <c r="I70" i="17771"/>
  <c r="G70" i="17771"/>
  <c r="F70" i="17771"/>
  <c r="BG70" i="17771" s="1"/>
  <c r="E70" i="17771"/>
  <c r="D70" i="17771"/>
  <c r="CA70" i="17771" s="1"/>
  <c r="B70" i="17771"/>
  <c r="BY70" i="17771" s="1"/>
  <c r="BZ69" i="17771"/>
  <c r="BV69" i="17771"/>
  <c r="BD69" i="17771"/>
  <c r="AZ69" i="17771"/>
  <c r="AV69" i="17771"/>
  <c r="X69" i="17771"/>
  <c r="BQ69" i="17771" s="1"/>
  <c r="CB68" i="17771"/>
  <c r="CA68" i="17771"/>
  <c r="BX68" i="17771"/>
  <c r="BW68" i="17771"/>
  <c r="BN68" i="17771"/>
  <c r="BI68" i="17771"/>
  <c r="BF68" i="17771"/>
  <c r="BE68" i="17771"/>
  <c r="BB68" i="17771"/>
  <c r="BA68" i="17771"/>
  <c r="AX68" i="17771"/>
  <c r="AW68" i="17771"/>
  <c r="AF68" i="17771"/>
  <c r="Z68" i="17771"/>
  <c r="BO68" i="17771" s="1"/>
  <c r="Y68" i="17771"/>
  <c r="BR68" i="17771" s="1"/>
  <c r="P68" i="17771"/>
  <c r="K68" i="17771"/>
  <c r="BH68" i="17771" s="1"/>
  <c r="F68" i="17771"/>
  <c r="BG68" i="17771" s="1"/>
  <c r="CB67" i="17771"/>
  <c r="CA67" i="17771"/>
  <c r="BX67" i="17771"/>
  <c r="BW67" i="17771"/>
  <c r="BN67" i="17771"/>
  <c r="BI67" i="17771"/>
  <c r="BF67" i="17771"/>
  <c r="BE67" i="17771"/>
  <c r="BB67" i="17771"/>
  <c r="BA67" i="17771"/>
  <c r="AX67" i="17771"/>
  <c r="AW67" i="17771"/>
  <c r="AF67" i="17771"/>
  <c r="Z67" i="17771"/>
  <c r="BO67" i="17771" s="1"/>
  <c r="Y67" i="17771"/>
  <c r="BR67" i="17771" s="1"/>
  <c r="P67" i="17771"/>
  <c r="K67" i="17771"/>
  <c r="BH67" i="17771" s="1"/>
  <c r="F67" i="17771"/>
  <c r="BG67" i="17771" s="1"/>
  <c r="CB66" i="17771"/>
  <c r="CA66" i="17771"/>
  <c r="BX66" i="17771"/>
  <c r="BW66" i="17771"/>
  <c r="BN66" i="17771"/>
  <c r="BI66" i="17771"/>
  <c r="BF66" i="17771"/>
  <c r="BE66" i="17771"/>
  <c r="BB66" i="17771"/>
  <c r="BA66" i="17771"/>
  <c r="AX66" i="17771"/>
  <c r="AW66" i="17771"/>
  <c r="AF66" i="17771"/>
  <c r="Z66" i="17771"/>
  <c r="BO66" i="17771" s="1"/>
  <c r="Y66" i="17771"/>
  <c r="BR66" i="17771" s="1"/>
  <c r="P66" i="17771"/>
  <c r="K66" i="17771"/>
  <c r="BH66" i="17771" s="1"/>
  <c r="F66" i="17771"/>
  <c r="BG66" i="17771" s="1"/>
  <c r="CB65" i="17771"/>
  <c r="CA65" i="17771"/>
  <c r="BX65" i="17771"/>
  <c r="BW65" i="17771"/>
  <c r="BN65" i="17771"/>
  <c r="BI65" i="17771"/>
  <c r="BF65" i="17771"/>
  <c r="BE65" i="17771"/>
  <c r="BB65" i="17771"/>
  <c r="BA65" i="17771"/>
  <c r="AX65" i="17771"/>
  <c r="AW65" i="17771"/>
  <c r="AF65" i="17771"/>
  <c r="Z65" i="17771"/>
  <c r="BO65" i="17771" s="1"/>
  <c r="Y65" i="17771"/>
  <c r="BR65" i="17771" s="1"/>
  <c r="P65" i="17771"/>
  <c r="K65" i="17771"/>
  <c r="BH65" i="17771" s="1"/>
  <c r="F65" i="17771"/>
  <c r="BG65" i="17771" s="1"/>
  <c r="CB64" i="17771"/>
  <c r="CA64" i="17771"/>
  <c r="BX64" i="17771"/>
  <c r="BW64" i="17771"/>
  <c r="BN64" i="17771"/>
  <c r="BI64" i="17771"/>
  <c r="BF64" i="17771"/>
  <c r="BE64" i="17771"/>
  <c r="BB64" i="17771"/>
  <c r="BA64" i="17771"/>
  <c r="AX64" i="17771"/>
  <c r="AW64" i="17771"/>
  <c r="AF64" i="17771"/>
  <c r="Z64" i="17771"/>
  <c r="BO64" i="17771" s="1"/>
  <c r="Y64" i="17771"/>
  <c r="BR64" i="17771" s="1"/>
  <c r="P64" i="17771"/>
  <c r="K64" i="17771"/>
  <c r="BH64" i="17771" s="1"/>
  <c r="F64" i="17771"/>
  <c r="BG64" i="17771" s="1"/>
  <c r="CB63" i="17771"/>
  <c r="CA63" i="17771"/>
  <c r="BX63" i="17771"/>
  <c r="BW63" i="17771"/>
  <c r="BW62" i="17771" s="1"/>
  <c r="BU62" i="17771" s="1"/>
  <c r="BN63" i="17771"/>
  <c r="BN62" i="17771" s="1"/>
  <c r="BI63" i="17771"/>
  <c r="BF63" i="17771"/>
  <c r="BE63" i="17771"/>
  <c r="BB63" i="17771"/>
  <c r="BA63" i="17771"/>
  <c r="AX63" i="17771"/>
  <c r="AW63" i="17771"/>
  <c r="AF63" i="17771"/>
  <c r="Z63" i="17771"/>
  <c r="BO63" i="17771" s="1"/>
  <c r="BO62" i="17771" s="1"/>
  <c r="Y63" i="17771"/>
  <c r="BR63" i="17771" s="1"/>
  <c r="P63" i="17771"/>
  <c r="K63" i="17771"/>
  <c r="BH63" i="17771" s="1"/>
  <c r="F63" i="17771"/>
  <c r="BG63" i="17771" s="1"/>
  <c r="CB62" i="17771"/>
  <c r="BZ62" i="17771"/>
  <c r="BX62" i="17771"/>
  <c r="BV62" i="17771"/>
  <c r="BF62" i="17771"/>
  <c r="BE62" i="17771"/>
  <c r="BC62" i="17771" s="1"/>
  <c r="BD62" i="17771"/>
  <c r="BB62" i="17771"/>
  <c r="AZ62" i="17771"/>
  <c r="AX62" i="17771"/>
  <c r="AW62" i="17771"/>
  <c r="AU62" i="17771" s="1"/>
  <c r="AV62" i="17771"/>
  <c r="AR62" i="17771"/>
  <c r="AQ62" i="17771"/>
  <c r="AO62" i="17771"/>
  <c r="AN62" i="17771"/>
  <c r="AL62" i="17771"/>
  <c r="AK62" i="17771"/>
  <c r="AI62" i="17771"/>
  <c r="AH62" i="17771"/>
  <c r="AF62" i="17771"/>
  <c r="AE62" i="17771"/>
  <c r="AD62" i="17771"/>
  <c r="AB62" i="17771"/>
  <c r="X62" i="17771"/>
  <c r="BQ62" i="17771" s="1"/>
  <c r="V62" i="17771"/>
  <c r="U62" i="17771"/>
  <c r="S62" i="17771"/>
  <c r="R62" i="17771"/>
  <c r="P62" i="17771"/>
  <c r="BI62" i="17771" s="1"/>
  <c r="O62" i="17771"/>
  <c r="N62" i="17771"/>
  <c r="BA62" i="17771" s="1"/>
  <c r="L62" i="17771"/>
  <c r="AY62" i="17771" s="1"/>
  <c r="K62" i="17771"/>
  <c r="BH62" i="17771" s="1"/>
  <c r="J62" i="17771"/>
  <c r="I62" i="17771"/>
  <c r="G62" i="17771"/>
  <c r="F62" i="17771"/>
  <c r="BG62" i="17771" s="1"/>
  <c r="E62" i="17771"/>
  <c r="D62" i="17771"/>
  <c r="CA62" i="17771" s="1"/>
  <c r="B62" i="17771"/>
  <c r="BY62" i="17771" s="1"/>
  <c r="BZ61" i="17771"/>
  <c r="BV61" i="17771"/>
  <c r="BD61" i="17771"/>
  <c r="AZ61" i="17771"/>
  <c r="AV61" i="17771"/>
  <c r="X61" i="17771"/>
  <c r="BQ61" i="17771" s="1"/>
  <c r="CB60" i="17771"/>
  <c r="CA60" i="17771"/>
  <c r="BX60" i="17771"/>
  <c r="BW60" i="17771"/>
  <c r="BW51" i="17771" s="1"/>
  <c r="BN60" i="17771"/>
  <c r="BI60" i="17771"/>
  <c r="BF60" i="17771"/>
  <c r="BF51" i="17771" s="1"/>
  <c r="BE60" i="17771"/>
  <c r="BB60" i="17771"/>
  <c r="BA60" i="17771"/>
  <c r="AX60" i="17771"/>
  <c r="AX51" i="17771" s="1"/>
  <c r="AW60" i="17771"/>
  <c r="AF60" i="17771"/>
  <c r="Z60" i="17771"/>
  <c r="BO60" i="17771" s="1"/>
  <c r="Y60" i="17771"/>
  <c r="BR60" i="17771" s="1"/>
  <c r="P60" i="17771"/>
  <c r="K60" i="17771"/>
  <c r="BH60" i="17771" s="1"/>
  <c r="F60" i="17771"/>
  <c r="BG60" i="17771" s="1"/>
  <c r="CB59" i="17771"/>
  <c r="CA59" i="17771"/>
  <c r="BS59" i="17771"/>
  <c r="BF59" i="17771"/>
  <c r="BF50" i="17771" s="1"/>
  <c r="AX59" i="17771"/>
  <c r="AX50" i="17771" s="1"/>
  <c r="AE59" i="17771"/>
  <c r="BX59" i="17771" s="1"/>
  <c r="BX50" i="17771" s="1"/>
  <c r="AD59" i="17771"/>
  <c r="BA59" i="17771" s="1"/>
  <c r="Z59" i="17771"/>
  <c r="R59" i="17771"/>
  <c r="Y59" i="17771" s="1"/>
  <c r="P59" i="17771"/>
  <c r="K59" i="17771"/>
  <c r="F59" i="17771"/>
  <c r="BG59" i="17771" s="1"/>
  <c r="CB58" i="17771"/>
  <c r="CA58" i="17771"/>
  <c r="BX58" i="17771"/>
  <c r="BW58" i="17771"/>
  <c r="BS58" i="17771"/>
  <c r="BI58" i="17771"/>
  <c r="BH58" i="17771"/>
  <c r="BF58" i="17771"/>
  <c r="BE58" i="17771"/>
  <c r="BB58" i="17771"/>
  <c r="BA58" i="17771"/>
  <c r="AX58" i="17771"/>
  <c r="AW58" i="17771"/>
  <c r="AF58" i="17771"/>
  <c r="Z58" i="17771"/>
  <c r="BO58" i="17771" s="1"/>
  <c r="Y58" i="17771"/>
  <c r="BN58" i="17771" s="1"/>
  <c r="P58" i="17771"/>
  <c r="K58" i="17771"/>
  <c r="F58" i="17771"/>
  <c r="BG58" i="17771" s="1"/>
  <c r="CB57" i="17771"/>
  <c r="CA57" i="17771"/>
  <c r="BX57" i="17771"/>
  <c r="BW57" i="17771"/>
  <c r="BS57" i="17771"/>
  <c r="BI57" i="17771"/>
  <c r="BH57" i="17771"/>
  <c r="BF57" i="17771"/>
  <c r="BE57" i="17771"/>
  <c r="BB57" i="17771"/>
  <c r="BA57" i="17771"/>
  <c r="AX57" i="17771"/>
  <c r="AW57" i="17771"/>
  <c r="AF57" i="17771"/>
  <c r="Z57" i="17771"/>
  <c r="BO57" i="17771" s="1"/>
  <c r="Y57" i="17771"/>
  <c r="BN57" i="17771" s="1"/>
  <c r="P57" i="17771"/>
  <c r="K57" i="17771"/>
  <c r="F57" i="17771"/>
  <c r="BG57" i="17771" s="1"/>
  <c r="CB56" i="17771"/>
  <c r="CA56" i="17771"/>
  <c r="BX56" i="17771"/>
  <c r="BW56" i="17771"/>
  <c r="BS56" i="17771"/>
  <c r="BI56" i="17771"/>
  <c r="BH56" i="17771"/>
  <c r="BF56" i="17771"/>
  <c r="BE56" i="17771"/>
  <c r="BB56" i="17771"/>
  <c r="BA56" i="17771"/>
  <c r="AX56" i="17771"/>
  <c r="AW56" i="17771"/>
  <c r="AF56" i="17771"/>
  <c r="Z56" i="17771"/>
  <c r="BO56" i="17771" s="1"/>
  <c r="Y56" i="17771"/>
  <c r="BN56" i="17771" s="1"/>
  <c r="P56" i="17771"/>
  <c r="K56" i="17771"/>
  <c r="F56" i="17771"/>
  <c r="BG56" i="17771" s="1"/>
  <c r="BE55" i="17771"/>
  <c r="AW55" i="17771"/>
  <c r="AK55" i="17771"/>
  <c r="AH55" i="17771"/>
  <c r="AE55" i="17771"/>
  <c r="BF55" i="17771" s="1"/>
  <c r="AD55" i="17771"/>
  <c r="BW55" i="17771" s="1"/>
  <c r="Z55" i="17771"/>
  <c r="AA55" i="17771" s="1"/>
  <c r="Y55" i="17771"/>
  <c r="BR55" i="17771" s="1"/>
  <c r="R55" i="17771"/>
  <c r="P55" i="17771"/>
  <c r="K55" i="17771"/>
  <c r="F55" i="17771"/>
  <c r="AR54" i="17771"/>
  <c r="AR45" i="17771" s="1"/>
  <c r="AQ54" i="17771"/>
  <c r="AO54" i="17771"/>
  <c r="AN54" i="17771"/>
  <c r="AL54" i="17771"/>
  <c r="AK54" i="17771"/>
  <c r="AJ54" i="17771"/>
  <c r="AI54" i="17771"/>
  <c r="AH54" i="17771"/>
  <c r="AG54" i="17771"/>
  <c r="AD54" i="17771"/>
  <c r="BA54" i="17771" s="1"/>
  <c r="AC54" i="17771"/>
  <c r="BZ54" i="17771" s="1"/>
  <c r="Z54" i="17771"/>
  <c r="V54" i="17771"/>
  <c r="U54" i="17771"/>
  <c r="S54" i="17771"/>
  <c r="Q54" i="17771"/>
  <c r="X54" i="17771" s="1"/>
  <c r="P54" i="17771"/>
  <c r="O54" i="17771"/>
  <c r="N54" i="17771"/>
  <c r="L54" i="17771"/>
  <c r="K54" i="17771"/>
  <c r="J54" i="17771"/>
  <c r="I54" i="17771"/>
  <c r="G54" i="17771"/>
  <c r="F54" i="17771"/>
  <c r="E54" i="17771"/>
  <c r="D54" i="17771"/>
  <c r="CA54" i="17771" s="1"/>
  <c r="B54" i="17771"/>
  <c r="BZ52" i="17771"/>
  <c r="BV52" i="17771"/>
  <c r="BD52" i="17771"/>
  <c r="AV52" i="17771"/>
  <c r="AP52" i="17771"/>
  <c r="AM52" i="17771"/>
  <c r="AJ52" i="17771"/>
  <c r="AG52" i="17771"/>
  <c r="AC52" i="17771"/>
  <c r="X52" i="17771"/>
  <c r="BQ52" i="17771" s="1"/>
  <c r="T52" i="17771"/>
  <c r="Q52" i="17771"/>
  <c r="M52" i="17771"/>
  <c r="AZ52" i="17771" s="1"/>
  <c r="H52" i="17771"/>
  <c r="C52" i="17771"/>
  <c r="CA51" i="17771"/>
  <c r="BX51" i="17771"/>
  <c r="BR51" i="17771"/>
  <c r="BH51" i="17771"/>
  <c r="BE51" i="17771"/>
  <c r="BB51" i="17771"/>
  <c r="AW51" i="17771"/>
  <c r="AR51" i="17771"/>
  <c r="AQ51" i="17771"/>
  <c r="AO51" i="17771"/>
  <c r="AN51" i="17771"/>
  <c r="AL51" i="17771"/>
  <c r="AK51" i="17771"/>
  <c r="AI51" i="17771"/>
  <c r="AH51" i="17771"/>
  <c r="AF51" i="17771"/>
  <c r="AE51" i="17771"/>
  <c r="AD51" i="17771"/>
  <c r="Z51" i="17771"/>
  <c r="BS51" i="17771" s="1"/>
  <c r="Y51" i="17771"/>
  <c r="V51" i="17771"/>
  <c r="U51" i="17771"/>
  <c r="S51" i="17771"/>
  <c r="R51" i="17771"/>
  <c r="O51" i="17771"/>
  <c r="P51" i="17771" s="1"/>
  <c r="BI51" i="17771" s="1"/>
  <c r="N51" i="17771"/>
  <c r="BA51" i="17771" s="1"/>
  <c r="K51" i="17771"/>
  <c r="J51" i="17771"/>
  <c r="I51" i="17771"/>
  <c r="F51" i="17771"/>
  <c r="BG51" i="17771" s="1"/>
  <c r="E51" i="17771"/>
  <c r="CB51" i="17771" s="1"/>
  <c r="D51" i="17771"/>
  <c r="CA50" i="17771"/>
  <c r="BB50" i="17771"/>
  <c r="AR50" i="17771"/>
  <c r="AQ50" i="17771"/>
  <c r="AO50" i="17771"/>
  <c r="AN50" i="17771"/>
  <c r="AL50" i="17771"/>
  <c r="AK50" i="17771"/>
  <c r="AI50" i="17771"/>
  <c r="AH50" i="17771"/>
  <c r="AE50" i="17771"/>
  <c r="Z50" i="17771"/>
  <c r="BS50" i="17771" s="1"/>
  <c r="V50" i="17771"/>
  <c r="U50" i="17771"/>
  <c r="S50" i="17771"/>
  <c r="R50" i="17771"/>
  <c r="O50" i="17771"/>
  <c r="P50" i="17771" s="1"/>
  <c r="N50" i="17771"/>
  <c r="K50" i="17771"/>
  <c r="J50" i="17771"/>
  <c r="I50" i="17771"/>
  <c r="F50" i="17771"/>
  <c r="BG50" i="17771" s="1"/>
  <c r="E50" i="17771"/>
  <c r="CB50" i="17771" s="1"/>
  <c r="D50" i="17771"/>
  <c r="CA49" i="17771"/>
  <c r="BX49" i="17771"/>
  <c r="BW49" i="17771"/>
  <c r="BR49" i="17771"/>
  <c r="BH49" i="17771"/>
  <c r="BF49" i="17771"/>
  <c r="BE49" i="17771"/>
  <c r="BB49" i="17771"/>
  <c r="AX49" i="17771"/>
  <c r="AW49" i="17771"/>
  <c r="AR49" i="17771"/>
  <c r="AQ49" i="17771"/>
  <c r="AO49" i="17771"/>
  <c r="AN49" i="17771"/>
  <c r="AL49" i="17771"/>
  <c r="AK49" i="17771"/>
  <c r="AI49" i="17771"/>
  <c r="AH49" i="17771"/>
  <c r="AF49" i="17771"/>
  <c r="AE49" i="17771"/>
  <c r="AD49" i="17771"/>
  <c r="Z49" i="17771"/>
  <c r="BS49" i="17771" s="1"/>
  <c r="Y49" i="17771"/>
  <c r="V49" i="17771"/>
  <c r="U49" i="17771"/>
  <c r="S49" i="17771"/>
  <c r="R49" i="17771"/>
  <c r="O49" i="17771"/>
  <c r="P49" i="17771" s="1"/>
  <c r="BI49" i="17771" s="1"/>
  <c r="N49" i="17771"/>
  <c r="BA49" i="17771" s="1"/>
  <c r="K49" i="17771"/>
  <c r="J49" i="17771"/>
  <c r="I49" i="17771"/>
  <c r="F49" i="17771"/>
  <c r="BG49" i="17771" s="1"/>
  <c r="E49" i="17771"/>
  <c r="CB49" i="17771" s="1"/>
  <c r="D49" i="17771"/>
  <c r="CA48" i="17771"/>
  <c r="BX48" i="17771"/>
  <c r="BW48" i="17771"/>
  <c r="BR48" i="17771"/>
  <c r="BH48" i="17771"/>
  <c r="BF48" i="17771"/>
  <c r="BE48" i="17771"/>
  <c r="BB48" i="17771"/>
  <c r="AX48" i="17771"/>
  <c r="AW48" i="17771"/>
  <c r="AR48" i="17771"/>
  <c r="AQ48" i="17771"/>
  <c r="AO48" i="17771"/>
  <c r="AN48" i="17771"/>
  <c r="AL48" i="17771"/>
  <c r="AK48" i="17771"/>
  <c r="AI48" i="17771"/>
  <c r="AH48" i="17771"/>
  <c r="AF48" i="17771"/>
  <c r="AE48" i="17771"/>
  <c r="AD48" i="17771"/>
  <c r="Z48" i="17771"/>
  <c r="BS48" i="17771" s="1"/>
  <c r="Y48" i="17771"/>
  <c r="V48" i="17771"/>
  <c r="U48" i="17771"/>
  <c r="S48" i="17771"/>
  <c r="R48" i="17771"/>
  <c r="O48" i="17771"/>
  <c r="P48" i="17771" s="1"/>
  <c r="BI48" i="17771" s="1"/>
  <c r="N48" i="17771"/>
  <c r="BA48" i="17771" s="1"/>
  <c r="K48" i="17771"/>
  <c r="J48" i="17771"/>
  <c r="I48" i="17771"/>
  <c r="F48" i="17771"/>
  <c r="BG48" i="17771" s="1"/>
  <c r="E48" i="17771"/>
  <c r="CB48" i="17771" s="1"/>
  <c r="D48" i="17771"/>
  <c r="CA47" i="17771"/>
  <c r="BX47" i="17771"/>
  <c r="BW47" i="17771"/>
  <c r="BR47" i="17771"/>
  <c r="BH47" i="17771"/>
  <c r="BF47" i="17771"/>
  <c r="BE47" i="17771"/>
  <c r="BB47" i="17771"/>
  <c r="AX47" i="17771"/>
  <c r="AW47" i="17771"/>
  <c r="AR47" i="17771"/>
  <c r="AQ47" i="17771"/>
  <c r="AO47" i="17771"/>
  <c r="AN47" i="17771"/>
  <c r="AL47" i="17771"/>
  <c r="AK47" i="17771"/>
  <c r="AI47" i="17771"/>
  <c r="AH47" i="17771"/>
  <c r="AF47" i="17771"/>
  <c r="AE47" i="17771"/>
  <c r="AD47" i="17771"/>
  <c r="Z47" i="17771"/>
  <c r="Y47" i="17771"/>
  <c r="V47" i="17771"/>
  <c r="U47" i="17771"/>
  <c r="S47" i="17771"/>
  <c r="R47" i="17771"/>
  <c r="O47" i="17771"/>
  <c r="P47" i="17771" s="1"/>
  <c r="BI47" i="17771" s="1"/>
  <c r="N47" i="17771"/>
  <c r="BA47" i="17771" s="1"/>
  <c r="K47" i="17771"/>
  <c r="J47" i="17771"/>
  <c r="I47" i="17771"/>
  <c r="F47" i="17771"/>
  <c r="BG47" i="17771" s="1"/>
  <c r="E47" i="17771"/>
  <c r="CB47" i="17771" s="1"/>
  <c r="D47" i="17771"/>
  <c r="CA46" i="17771"/>
  <c r="BR46" i="17771"/>
  <c r="BE46" i="17771"/>
  <c r="BB46" i="17771"/>
  <c r="AW46" i="17771"/>
  <c r="AR46" i="17771"/>
  <c r="AQ46" i="17771"/>
  <c r="AO46" i="17771"/>
  <c r="AN46" i="17771"/>
  <c r="AL46" i="17771"/>
  <c r="AK46" i="17771"/>
  <c r="AI46" i="17771"/>
  <c r="AH46" i="17771"/>
  <c r="AF46" i="17771"/>
  <c r="BH46" i="17771" s="1"/>
  <c r="AE46" i="17771"/>
  <c r="AD46" i="17771"/>
  <c r="Z46" i="17771"/>
  <c r="Y46" i="17771"/>
  <c r="V46" i="17771"/>
  <c r="U46" i="17771"/>
  <c r="S46" i="17771"/>
  <c r="R46" i="17771"/>
  <c r="O46" i="17771"/>
  <c r="P46" i="17771" s="1"/>
  <c r="BI46" i="17771" s="1"/>
  <c r="N46" i="17771"/>
  <c r="BA46" i="17771" s="1"/>
  <c r="K46" i="17771"/>
  <c r="J46" i="17771"/>
  <c r="I46" i="17771"/>
  <c r="F46" i="17771"/>
  <c r="BG46" i="17771" s="1"/>
  <c r="E46" i="17771"/>
  <c r="CB46" i="17771" s="1"/>
  <c r="D46" i="17771"/>
  <c r="CA45" i="17771"/>
  <c r="AQ45" i="17771"/>
  <c r="AP45" i="17771"/>
  <c r="AO45" i="17771"/>
  <c r="AN45" i="17771"/>
  <c r="AM45" i="17771"/>
  <c r="AL45" i="17771"/>
  <c r="AK45" i="17771"/>
  <c r="AJ45" i="17771"/>
  <c r="AI45" i="17771"/>
  <c r="AH45" i="17771"/>
  <c r="AG45" i="17771"/>
  <c r="AD45" i="17771"/>
  <c r="AC45" i="17771"/>
  <c r="BZ45" i="17771" s="1"/>
  <c r="V45" i="17771"/>
  <c r="U45" i="17771"/>
  <c r="T45" i="17771"/>
  <c r="S45" i="17771"/>
  <c r="Q45" i="17771"/>
  <c r="O45" i="17771"/>
  <c r="N45" i="17771"/>
  <c r="BA45" i="17771" s="1"/>
  <c r="M45" i="17771"/>
  <c r="J45" i="17771"/>
  <c r="I45" i="17771"/>
  <c r="G45" i="17771" s="1"/>
  <c r="H45" i="17771"/>
  <c r="F45" i="17771"/>
  <c r="E45" i="17771"/>
  <c r="D45" i="17771"/>
  <c r="C45" i="17771"/>
  <c r="B45" i="17771"/>
  <c r="BZ44" i="17771"/>
  <c r="BV44" i="17771"/>
  <c r="BD44" i="17771"/>
  <c r="AZ44" i="17771"/>
  <c r="AV44" i="17771"/>
  <c r="X44" i="17771"/>
  <c r="BQ44" i="17771" s="1"/>
  <c r="CB43" i="17771"/>
  <c r="CA43" i="17771"/>
  <c r="BX43" i="17771"/>
  <c r="BW43" i="17771"/>
  <c r="BW34" i="17771" s="1"/>
  <c r="BS43" i="17771"/>
  <c r="BI43" i="17771"/>
  <c r="BF43" i="17771"/>
  <c r="BF34" i="17771" s="1"/>
  <c r="BE43" i="17771"/>
  <c r="BB43" i="17771"/>
  <c r="BA43" i="17771"/>
  <c r="AX43" i="17771"/>
  <c r="AX34" i="17771" s="1"/>
  <c r="AW43" i="17771"/>
  <c r="AW34" i="17771" s="1"/>
  <c r="AW25" i="17771" s="1"/>
  <c r="AF43" i="17771"/>
  <c r="Z43" i="17771"/>
  <c r="Z37" i="17771" s="1"/>
  <c r="Y43" i="17771"/>
  <c r="BR43" i="17771" s="1"/>
  <c r="P43" i="17771"/>
  <c r="K43" i="17771"/>
  <c r="BH43" i="17771" s="1"/>
  <c r="F43" i="17771"/>
  <c r="BG43" i="17771" s="1"/>
  <c r="CB42" i="17771"/>
  <c r="CA42" i="17771"/>
  <c r="AX42" i="17771"/>
  <c r="AH42" i="17771"/>
  <c r="AE42" i="17771"/>
  <c r="BF42" i="17771" s="1"/>
  <c r="BF33" i="17771" s="1"/>
  <c r="BF24" i="17771" s="1"/>
  <c r="AD42" i="17771"/>
  <c r="BA42" i="17771" s="1"/>
  <c r="Z42" i="17771"/>
  <c r="R42" i="17771"/>
  <c r="Y42" i="17771" s="1"/>
  <c r="P42" i="17771"/>
  <c r="K42" i="17771"/>
  <c r="F42" i="17771"/>
  <c r="BG42" i="17771" s="1"/>
  <c r="BW41" i="17771"/>
  <c r="BF41" i="17771"/>
  <c r="BE41" i="17771"/>
  <c r="BE32" i="17771" s="1"/>
  <c r="BE23" i="17771" s="1"/>
  <c r="AW41" i="17771"/>
  <c r="AH41" i="17771"/>
  <c r="AE41" i="17771"/>
  <c r="AX41" i="17771" s="1"/>
  <c r="AX32" i="17771" s="1"/>
  <c r="AD41" i="17771"/>
  <c r="Z41" i="17771"/>
  <c r="Y41" i="17771"/>
  <c r="BR41" i="17771" s="1"/>
  <c r="R41" i="17771"/>
  <c r="P41" i="17771"/>
  <c r="K41" i="17771"/>
  <c r="F41" i="17771"/>
  <c r="CB40" i="17771"/>
  <c r="BS40" i="17771"/>
  <c r="BN40" i="17771"/>
  <c r="BF40" i="17771"/>
  <c r="AX40" i="17771"/>
  <c r="AW40" i="17771"/>
  <c r="AW31" i="17771" s="1"/>
  <c r="AE40" i="17771"/>
  <c r="BX40" i="17771" s="1"/>
  <c r="AD40" i="17771"/>
  <c r="BW40" i="17771" s="1"/>
  <c r="BW31" i="17771" s="1"/>
  <c r="AA40" i="17771"/>
  <c r="Z40" i="17771"/>
  <c r="Y40" i="17771"/>
  <c r="P40" i="17771"/>
  <c r="K40" i="17771"/>
  <c r="F40" i="17771"/>
  <c r="AR39" i="17771"/>
  <c r="AQ39" i="17771"/>
  <c r="AQ37" i="17771" s="1"/>
  <c r="AQ28" i="17771" s="1"/>
  <c r="AQ19" i="17771" s="1"/>
  <c r="AQ160" i="17771" s="1"/>
  <c r="AO39" i="17771"/>
  <c r="AN39" i="17771"/>
  <c r="AL39" i="17771"/>
  <c r="AL37" i="17771" s="1"/>
  <c r="AL28" i="17771" s="1"/>
  <c r="AL19" i="17771" s="1"/>
  <c r="AL160" i="17771" s="1"/>
  <c r="AK39" i="17771"/>
  <c r="AK37" i="17771" s="1"/>
  <c r="AI39" i="17771"/>
  <c r="AH39" i="17771"/>
  <c r="AE39" i="17771"/>
  <c r="BS39" i="17771" s="1"/>
  <c r="Z39" i="17771"/>
  <c r="V39" i="17771"/>
  <c r="U39" i="17771"/>
  <c r="U37" i="17771" s="1"/>
  <c r="U28" i="17771" s="1"/>
  <c r="U19" i="17771" s="1"/>
  <c r="U160" i="17771" s="1"/>
  <c r="S39" i="17771"/>
  <c r="S37" i="17771" s="1"/>
  <c r="R39" i="17771"/>
  <c r="P39" i="17771"/>
  <c r="K39" i="17771"/>
  <c r="F39" i="17771"/>
  <c r="BX38" i="17771"/>
  <c r="BW38" i="17771"/>
  <c r="BN38" i="17771"/>
  <c r="BE38" i="17771"/>
  <c r="BE29" i="17771" s="1"/>
  <c r="BE20" i="17771" s="1"/>
  <c r="BA38" i="17771"/>
  <c r="AW38" i="17771"/>
  <c r="AW29" i="17771" s="1"/>
  <c r="AK38" i="17771"/>
  <c r="AH38" i="17771"/>
  <c r="AH29" i="17771" s="1"/>
  <c r="AH20" i="17771" s="1"/>
  <c r="AE38" i="17771"/>
  <c r="BB38" i="17771" s="1"/>
  <c r="AD38" i="17771"/>
  <c r="CA38" i="17771" s="1"/>
  <c r="AA38" i="17771"/>
  <c r="Z38" i="17771"/>
  <c r="BS38" i="17771" s="1"/>
  <c r="Y38" i="17771"/>
  <c r="BR38" i="17771" s="1"/>
  <c r="R38" i="17771"/>
  <c r="P38" i="17771"/>
  <c r="K38" i="17771"/>
  <c r="F38" i="17771"/>
  <c r="AR37" i="17771"/>
  <c r="AO37" i="17771"/>
  <c r="AN37" i="17771"/>
  <c r="AJ37" i="17771"/>
  <c r="AI37" i="17771"/>
  <c r="AI28" i="17771" s="1"/>
  <c r="AI19" i="17771" s="1"/>
  <c r="AI160" i="17771" s="1"/>
  <c r="AH37" i="17771"/>
  <c r="AC37" i="17771"/>
  <c r="BZ37" i="17771" s="1"/>
  <c r="V37" i="17771"/>
  <c r="R37" i="17771"/>
  <c r="Q37" i="17771"/>
  <c r="X37" i="17771" s="1"/>
  <c r="BQ37" i="17771" s="1"/>
  <c r="P37" i="17771"/>
  <c r="O37" i="17771"/>
  <c r="N37" i="17771"/>
  <c r="L37" i="17771"/>
  <c r="K37" i="17771"/>
  <c r="J37" i="17771"/>
  <c r="I37" i="17771"/>
  <c r="G37" i="17771"/>
  <c r="F37" i="17771"/>
  <c r="E37" i="17771"/>
  <c r="D37" i="17771"/>
  <c r="B37" i="17771"/>
  <c r="BZ35" i="17771"/>
  <c r="BV35" i="17771"/>
  <c r="AV35" i="17771"/>
  <c r="AP35" i="17771"/>
  <c r="AM35" i="17771"/>
  <c r="AJ35" i="17771"/>
  <c r="AG35" i="17771"/>
  <c r="AC35" i="17771"/>
  <c r="T35" i="17771"/>
  <c r="Q35" i="17771"/>
  <c r="M35" i="17771"/>
  <c r="AZ35" i="17771" s="1"/>
  <c r="H35" i="17771"/>
  <c r="C35" i="17771"/>
  <c r="BX34" i="17771"/>
  <c r="BI34" i="17771"/>
  <c r="BE34" i="17771"/>
  <c r="BE25" i="17771" s="1"/>
  <c r="BB34" i="17771"/>
  <c r="AR34" i="17771"/>
  <c r="AQ34" i="17771"/>
  <c r="AO34" i="17771"/>
  <c r="AN34" i="17771"/>
  <c r="AL34" i="17771"/>
  <c r="AK34" i="17771"/>
  <c r="AI34" i="17771"/>
  <c r="AH34" i="17771"/>
  <c r="AE34" i="17771"/>
  <c r="AF34" i="17771" s="1"/>
  <c r="AD34" i="17771"/>
  <c r="Z34" i="17771"/>
  <c r="BS34" i="17771" s="1"/>
  <c r="Y34" i="17771"/>
  <c r="BR34" i="17771" s="1"/>
  <c r="V34" i="17771"/>
  <c r="U34" i="17771"/>
  <c r="S34" i="17771"/>
  <c r="R34" i="17771"/>
  <c r="P34" i="17771"/>
  <c r="O34" i="17771"/>
  <c r="N34" i="17771"/>
  <c r="BA34" i="17771" s="1"/>
  <c r="K34" i="17771"/>
  <c r="BH34" i="17771" s="1"/>
  <c r="J34" i="17771"/>
  <c r="I34" i="17771"/>
  <c r="E34" i="17771"/>
  <c r="F34" i="17771" s="1"/>
  <c r="BG34" i="17771" s="1"/>
  <c r="D34" i="17771"/>
  <c r="CA34" i="17771" s="1"/>
  <c r="AX33" i="17771"/>
  <c r="AR33" i="17771"/>
  <c r="AQ33" i="17771"/>
  <c r="AO33" i="17771"/>
  <c r="AN33" i="17771"/>
  <c r="AL33" i="17771"/>
  <c r="AK33" i="17771"/>
  <c r="AI33" i="17771"/>
  <c r="AH33" i="17771"/>
  <c r="AE33" i="17771"/>
  <c r="BB33" i="17771" s="1"/>
  <c r="Z33" i="17771"/>
  <c r="BS33" i="17771" s="1"/>
  <c r="V33" i="17771"/>
  <c r="U33" i="17771"/>
  <c r="S33" i="17771"/>
  <c r="R33" i="17771"/>
  <c r="P33" i="17771"/>
  <c r="O33" i="17771"/>
  <c r="N33" i="17771"/>
  <c r="K33" i="17771"/>
  <c r="J33" i="17771"/>
  <c r="I33" i="17771"/>
  <c r="E33" i="17771"/>
  <c r="F33" i="17771" s="1"/>
  <c r="BG33" i="17771" s="1"/>
  <c r="D33" i="17771"/>
  <c r="CA33" i="17771" s="1"/>
  <c r="BW32" i="17771"/>
  <c r="BF32" i="17771"/>
  <c r="BA32" i="17771"/>
  <c r="AR32" i="17771"/>
  <c r="AQ32" i="17771"/>
  <c r="AO32" i="17771"/>
  <c r="AN32" i="17771"/>
  <c r="AL32" i="17771"/>
  <c r="AK32" i="17771"/>
  <c r="AI32" i="17771"/>
  <c r="AH32" i="17771"/>
  <c r="AE32" i="17771"/>
  <c r="BB32" i="17771" s="1"/>
  <c r="AD32" i="17771"/>
  <c r="Z32" i="17771"/>
  <c r="BS32" i="17771" s="1"/>
  <c r="Y32" i="17771"/>
  <c r="BR32" i="17771" s="1"/>
  <c r="V32" i="17771"/>
  <c r="U32" i="17771"/>
  <c r="S32" i="17771"/>
  <c r="R32" i="17771"/>
  <c r="P32" i="17771"/>
  <c r="O32" i="17771"/>
  <c r="N32" i="17771"/>
  <c r="K32" i="17771"/>
  <c r="J32" i="17771"/>
  <c r="I32" i="17771"/>
  <c r="E32" i="17771"/>
  <c r="F32" i="17771" s="1"/>
  <c r="D32" i="17771"/>
  <c r="CA32" i="17771" s="1"/>
  <c r="BA31" i="17771"/>
  <c r="AR31" i="17771"/>
  <c r="AQ31" i="17771"/>
  <c r="AO31" i="17771"/>
  <c r="AN31" i="17771"/>
  <c r="AL31" i="17771"/>
  <c r="AK31" i="17771"/>
  <c r="AI31" i="17771"/>
  <c r="AH31" i="17771"/>
  <c r="AE31" i="17771"/>
  <c r="BB31" i="17771" s="1"/>
  <c r="AD31" i="17771"/>
  <c r="Z31" i="17771"/>
  <c r="BS31" i="17771" s="1"/>
  <c r="Y31" i="17771"/>
  <c r="BR31" i="17771" s="1"/>
  <c r="V31" i="17771"/>
  <c r="U31" i="17771"/>
  <c r="S31" i="17771"/>
  <c r="R31" i="17771"/>
  <c r="P31" i="17771"/>
  <c r="O31" i="17771"/>
  <c r="N31" i="17771"/>
  <c r="K31" i="17771"/>
  <c r="J31" i="17771"/>
  <c r="I31" i="17771"/>
  <c r="E31" i="17771"/>
  <c r="F31" i="17771" s="1"/>
  <c r="D31" i="17771"/>
  <c r="CA31" i="17771" s="1"/>
  <c r="AR30" i="17771"/>
  <c r="AQ30" i="17771"/>
  <c r="AO30" i="17771"/>
  <c r="AN30" i="17771"/>
  <c r="AL30" i="17771"/>
  <c r="AK30" i="17771"/>
  <c r="AI30" i="17771"/>
  <c r="AH30" i="17771"/>
  <c r="AE30" i="17771"/>
  <c r="BB30" i="17771" s="1"/>
  <c r="Z30" i="17771"/>
  <c r="BS30" i="17771" s="1"/>
  <c r="V30" i="17771"/>
  <c r="S30" i="17771"/>
  <c r="R30" i="17771"/>
  <c r="P30" i="17771"/>
  <c r="O30" i="17771"/>
  <c r="N30" i="17771"/>
  <c r="K30" i="17771"/>
  <c r="J30" i="17771"/>
  <c r="I30" i="17771"/>
  <c r="D30" i="17771"/>
  <c r="BA29" i="17771"/>
  <c r="AR29" i="17771"/>
  <c r="AQ29" i="17771"/>
  <c r="AO29" i="17771"/>
  <c r="AN29" i="17771"/>
  <c r="AL29" i="17771"/>
  <c r="AK29" i="17771"/>
  <c r="AI29" i="17771"/>
  <c r="AE29" i="17771"/>
  <c r="BB29" i="17771" s="1"/>
  <c r="AD29" i="17771"/>
  <c r="Z29" i="17771"/>
  <c r="BS29" i="17771" s="1"/>
  <c r="Y29" i="17771"/>
  <c r="BR29" i="17771" s="1"/>
  <c r="V29" i="17771"/>
  <c r="U29" i="17771"/>
  <c r="S29" i="17771"/>
  <c r="R29" i="17771"/>
  <c r="P29" i="17771"/>
  <c r="O29" i="17771"/>
  <c r="N29" i="17771"/>
  <c r="K29" i="17771"/>
  <c r="J29" i="17771"/>
  <c r="I29" i="17771"/>
  <c r="E29" i="17771"/>
  <c r="F29" i="17771" s="1"/>
  <c r="D29" i="17771"/>
  <c r="CA29" i="17771" s="1"/>
  <c r="AR28" i="17771"/>
  <c r="AP28" i="17771"/>
  <c r="AO28" i="17771"/>
  <c r="AN28" i="17771"/>
  <c r="AM28" i="17771"/>
  <c r="AK28" i="17771"/>
  <c r="AJ28" i="17771"/>
  <c r="AH28" i="17771"/>
  <c r="AG28" i="17771"/>
  <c r="AC28" i="17771"/>
  <c r="BZ28" i="17771" s="1"/>
  <c r="V28" i="17771"/>
  <c r="T28" i="17771"/>
  <c r="S28" i="17771"/>
  <c r="Q28" i="17771"/>
  <c r="P28" i="17771"/>
  <c r="O28" i="17771"/>
  <c r="N28" i="17771"/>
  <c r="M28" i="17771"/>
  <c r="AZ28" i="17771" s="1"/>
  <c r="J28" i="17771"/>
  <c r="K28" i="17771" s="1"/>
  <c r="I28" i="17771"/>
  <c r="H28" i="17771"/>
  <c r="G28" i="17771" s="1"/>
  <c r="G19" i="17771" s="1"/>
  <c r="E28" i="17771"/>
  <c r="D28" i="17771"/>
  <c r="C28" i="17771"/>
  <c r="BZ26" i="17771"/>
  <c r="BV26" i="17771"/>
  <c r="AZ26" i="17771"/>
  <c r="AV26" i="17771"/>
  <c r="AP26" i="17771"/>
  <c r="AM26" i="17771"/>
  <c r="AJ26" i="17771"/>
  <c r="AG26" i="17771"/>
  <c r="AC26" i="17771"/>
  <c r="T26" i="17771"/>
  <c r="Q26" i="17771"/>
  <c r="M26" i="17771"/>
  <c r="H26" i="17771"/>
  <c r="C26" i="17771"/>
  <c r="BX25" i="17771"/>
  <c r="BW25" i="17771"/>
  <c r="BF25" i="17771"/>
  <c r="BB25" i="17771"/>
  <c r="BA25" i="17771"/>
  <c r="AX25" i="17771"/>
  <c r="AR25" i="17771"/>
  <c r="AQ25" i="17771"/>
  <c r="AO25" i="17771"/>
  <c r="AN25" i="17771"/>
  <c r="AL25" i="17771"/>
  <c r="AK25" i="17771"/>
  <c r="AI25" i="17771"/>
  <c r="AH25" i="17771"/>
  <c r="AE25" i="17771"/>
  <c r="AF25" i="17771" s="1"/>
  <c r="AD25" i="17771"/>
  <c r="Z25" i="17771"/>
  <c r="BS25" i="17771" s="1"/>
  <c r="Y25" i="17771"/>
  <c r="BR25" i="17771" s="1"/>
  <c r="V25" i="17771"/>
  <c r="U25" i="17771"/>
  <c r="S25" i="17771"/>
  <c r="R25" i="17771"/>
  <c r="P25" i="17771"/>
  <c r="BI25" i="17771" s="1"/>
  <c r="O25" i="17771"/>
  <c r="N25" i="17771"/>
  <c r="K25" i="17771"/>
  <c r="BH25" i="17771" s="1"/>
  <c r="J25" i="17771"/>
  <c r="I25" i="17771"/>
  <c r="E25" i="17771"/>
  <c r="F25" i="17771" s="1"/>
  <c r="BG25" i="17771" s="1"/>
  <c r="D25" i="17771"/>
  <c r="CA25" i="17771" s="1"/>
  <c r="AX24" i="17771"/>
  <c r="AR24" i="17771"/>
  <c r="AQ24" i="17771"/>
  <c r="AO24" i="17771"/>
  <c r="AN24" i="17771"/>
  <c r="AL24" i="17771"/>
  <c r="AK24" i="17771"/>
  <c r="AI24" i="17771"/>
  <c r="AH24" i="17771"/>
  <c r="AE24" i="17771"/>
  <c r="BB24" i="17771" s="1"/>
  <c r="Z24" i="17771"/>
  <c r="BS24" i="17771" s="1"/>
  <c r="V24" i="17771"/>
  <c r="U24" i="17771"/>
  <c r="S24" i="17771"/>
  <c r="R24" i="17771"/>
  <c r="P24" i="17771"/>
  <c r="O24" i="17771"/>
  <c r="N24" i="17771"/>
  <c r="K24" i="17771"/>
  <c r="J24" i="17771"/>
  <c r="I24" i="17771"/>
  <c r="E24" i="17771"/>
  <c r="F24" i="17771" s="1"/>
  <c r="BG24" i="17771" s="1"/>
  <c r="D24" i="17771"/>
  <c r="CA24" i="17771" s="1"/>
  <c r="BW23" i="17771"/>
  <c r="BA23" i="17771"/>
  <c r="AR23" i="17771"/>
  <c r="AQ23" i="17771"/>
  <c r="AO23" i="17771"/>
  <c r="AN23" i="17771"/>
  <c r="AL23" i="17771"/>
  <c r="AK23" i="17771"/>
  <c r="AI23" i="17771"/>
  <c r="AH23" i="17771"/>
  <c r="AE23" i="17771"/>
  <c r="BB23" i="17771" s="1"/>
  <c r="AD23" i="17771"/>
  <c r="Z23" i="17771"/>
  <c r="BS23" i="17771" s="1"/>
  <c r="Y23" i="17771"/>
  <c r="BR23" i="17771" s="1"/>
  <c r="V23" i="17771"/>
  <c r="U23" i="17771"/>
  <c r="S23" i="17771"/>
  <c r="R23" i="17771"/>
  <c r="P23" i="17771"/>
  <c r="O23" i="17771"/>
  <c r="N23" i="17771"/>
  <c r="J23" i="17771"/>
  <c r="K23" i="17771" s="1"/>
  <c r="I23" i="17771"/>
  <c r="E23" i="17771"/>
  <c r="CB23" i="17771" s="1"/>
  <c r="D23" i="17771"/>
  <c r="CA23" i="17771" s="1"/>
  <c r="AR22" i="17771"/>
  <c r="AQ22" i="17771"/>
  <c r="AO22" i="17771"/>
  <c r="AN22" i="17771"/>
  <c r="AL22" i="17771"/>
  <c r="AK22" i="17771"/>
  <c r="AI22" i="17771"/>
  <c r="AH22" i="17771"/>
  <c r="AE22" i="17771"/>
  <c r="BB22" i="17771" s="1"/>
  <c r="AD22" i="17771"/>
  <c r="BA22" i="17771" s="1"/>
  <c r="Z22" i="17771"/>
  <c r="BS22" i="17771" s="1"/>
  <c r="Y22" i="17771"/>
  <c r="BR22" i="17771" s="1"/>
  <c r="V22" i="17771"/>
  <c r="U22" i="17771"/>
  <c r="S22" i="17771"/>
  <c r="R22" i="17771"/>
  <c r="P22" i="17771"/>
  <c r="O22" i="17771"/>
  <c r="N22" i="17771"/>
  <c r="J22" i="17771"/>
  <c r="K22" i="17771" s="1"/>
  <c r="I22" i="17771"/>
  <c r="E22" i="17771"/>
  <c r="CB22" i="17771" s="1"/>
  <c r="D22" i="17771"/>
  <c r="CA22" i="17771" s="1"/>
  <c r="AR21" i="17771"/>
  <c r="AQ21" i="17771"/>
  <c r="AO21" i="17771"/>
  <c r="AN21" i="17771"/>
  <c r="AL21" i="17771"/>
  <c r="AK21" i="17771"/>
  <c r="AI21" i="17771"/>
  <c r="AH21" i="17771"/>
  <c r="AE21" i="17771"/>
  <c r="BB21" i="17771" s="1"/>
  <c r="V21" i="17771"/>
  <c r="S21" i="17771"/>
  <c r="P21" i="17771"/>
  <c r="O21" i="17771"/>
  <c r="N21" i="17771"/>
  <c r="J21" i="17771"/>
  <c r="K21" i="17771" s="1"/>
  <c r="I21" i="17771"/>
  <c r="D21" i="17771"/>
  <c r="AR20" i="17771"/>
  <c r="AQ20" i="17771"/>
  <c r="AO20" i="17771"/>
  <c r="AN20" i="17771"/>
  <c r="AL20" i="17771"/>
  <c r="AK20" i="17771"/>
  <c r="AI20" i="17771"/>
  <c r="AE20" i="17771"/>
  <c r="BB20" i="17771" s="1"/>
  <c r="AD20" i="17771"/>
  <c r="BA20" i="17771" s="1"/>
  <c r="Z20" i="17771"/>
  <c r="BS20" i="17771" s="1"/>
  <c r="Y20" i="17771"/>
  <c r="BR20" i="17771" s="1"/>
  <c r="V20" i="17771"/>
  <c r="U20" i="17771"/>
  <c r="S20" i="17771"/>
  <c r="R20" i="17771"/>
  <c r="P20" i="17771"/>
  <c r="O20" i="17771"/>
  <c r="N20" i="17771"/>
  <c r="J20" i="17771"/>
  <c r="K20" i="17771" s="1"/>
  <c r="I20" i="17771"/>
  <c r="E20" i="17771"/>
  <c r="F20" i="17771" s="1"/>
  <c r="D20" i="17771"/>
  <c r="CA20" i="17771" s="1"/>
  <c r="AR19" i="17771"/>
  <c r="AR160" i="17771" s="1"/>
  <c r="AP19" i="17771"/>
  <c r="AP160" i="17771" s="1"/>
  <c r="AO19" i="17771"/>
  <c r="AO160" i="17771" s="1"/>
  <c r="AN19" i="17771"/>
  <c r="AN160" i="17771" s="1"/>
  <c r="AM19" i="17771"/>
  <c r="AM160" i="17771" s="1"/>
  <c r="AK19" i="17771"/>
  <c r="AK160" i="17771" s="1"/>
  <c r="AJ19" i="17771"/>
  <c r="AJ160" i="17771" s="1"/>
  <c r="AH19" i="17771"/>
  <c r="AH160" i="17771" s="1"/>
  <c r="AG19" i="17771"/>
  <c r="AG160" i="17771" s="1"/>
  <c r="AC19" i="17771"/>
  <c r="AC160" i="17771" s="1"/>
  <c r="V19" i="17771"/>
  <c r="V160" i="17771" s="1"/>
  <c r="T19" i="17771"/>
  <c r="T160" i="17771" s="1"/>
  <c r="S19" i="17771"/>
  <c r="S160" i="17771" s="1"/>
  <c r="Q19" i="17771"/>
  <c r="Q160" i="17771" s="1"/>
  <c r="P19" i="17771"/>
  <c r="O19" i="17771"/>
  <c r="O160" i="17771" s="1"/>
  <c r="N19" i="17771"/>
  <c r="N160" i="17771" s="1"/>
  <c r="M19" i="17771"/>
  <c r="M160" i="17771" s="1"/>
  <c r="AZ160" i="17771" s="1"/>
  <c r="J19" i="17771"/>
  <c r="J160" i="17771" s="1"/>
  <c r="I19" i="17771"/>
  <c r="I160" i="17771" s="1"/>
  <c r="H19" i="17771"/>
  <c r="H160" i="17771" s="1"/>
  <c r="E19" i="17771"/>
  <c r="E160" i="17771" s="1"/>
  <c r="D19" i="17771"/>
  <c r="D160" i="17771" s="1"/>
  <c r="C19" i="17771"/>
  <c r="C160" i="17771" s="1"/>
  <c r="BH23" i="17771" l="1"/>
  <c r="BR42" i="17771"/>
  <c r="F160" i="17771"/>
  <c r="BZ19" i="17771"/>
  <c r="K160" i="17771"/>
  <c r="AZ19" i="17771"/>
  <c r="F22" i="17771"/>
  <c r="AF22" i="17771"/>
  <c r="BH22" i="17771" s="1"/>
  <c r="F23" i="17771"/>
  <c r="BG23" i="17771" s="1"/>
  <c r="AF23" i="17771"/>
  <c r="BI23" i="17771" s="1"/>
  <c r="F28" i="17771"/>
  <c r="BZ160" i="17771"/>
  <c r="K19" i="17771"/>
  <c r="P160" i="17771"/>
  <c r="AA20" i="17771"/>
  <c r="CB20" i="17771"/>
  <c r="AA22" i="17771"/>
  <c r="AA23" i="17771"/>
  <c r="CB24" i="17771"/>
  <c r="AA25" i="17771"/>
  <c r="CB25" i="17771"/>
  <c r="AA29" i="17771"/>
  <c r="CB29" i="17771"/>
  <c r="U30" i="17771"/>
  <c r="U21" i="17771" s="1"/>
  <c r="AA31" i="17771"/>
  <c r="CB31" i="17771"/>
  <c r="AA32" i="17771"/>
  <c r="CB32" i="17771"/>
  <c r="CB33" i="17771"/>
  <c r="AA34" i="17771"/>
  <c r="CB34" i="17771"/>
  <c r="AE37" i="17771"/>
  <c r="AZ37" i="17771"/>
  <c r="BM37" i="17771"/>
  <c r="AF38" i="17771"/>
  <c r="BH38" i="17771" s="1"/>
  <c r="AX38" i="17771"/>
  <c r="CB39" i="17771"/>
  <c r="BR40" i="17771"/>
  <c r="BA41" i="17771"/>
  <c r="CA41" i="17771"/>
  <c r="BN41" i="17771"/>
  <c r="BW42" i="17771"/>
  <c r="BN43" i="17771"/>
  <c r="K45" i="17771"/>
  <c r="BS47" i="17771"/>
  <c r="AA47" i="17771"/>
  <c r="AA59" i="17771"/>
  <c r="Y50" i="17771"/>
  <c r="BR59" i="17771"/>
  <c r="L28" i="17771"/>
  <c r="AV37" i="17771"/>
  <c r="BX41" i="17771"/>
  <c r="BO41" i="17771"/>
  <c r="AF41" i="17771"/>
  <c r="BI41" i="17771" s="1"/>
  <c r="BB41" i="17771"/>
  <c r="BS41" i="17771"/>
  <c r="BH42" i="17771"/>
  <c r="AA42" i="17771"/>
  <c r="AW42" i="17771"/>
  <c r="L45" i="17771"/>
  <c r="AZ45" i="17771"/>
  <c r="BS46" i="17771"/>
  <c r="AA46" i="17771"/>
  <c r="BV37" i="17771"/>
  <c r="BF39" i="17771"/>
  <c r="AX39" i="17771"/>
  <c r="BB39" i="17771"/>
  <c r="BX39" i="17771"/>
  <c r="BH40" i="17771"/>
  <c r="BG41" i="17771"/>
  <c r="BN42" i="17771"/>
  <c r="BM44" i="17771"/>
  <c r="BW46" i="17771"/>
  <c r="BS86" i="17771"/>
  <c r="AA86" i="17771"/>
  <c r="F19" i="17771"/>
  <c r="AF20" i="17771"/>
  <c r="BG20" i="17771" s="1"/>
  <c r="B28" i="17771"/>
  <c r="AF29" i="17771"/>
  <c r="BI29" i="17771" s="1"/>
  <c r="AF31" i="17771"/>
  <c r="BH31" i="17771" s="1"/>
  <c r="AF32" i="17771"/>
  <c r="BI32" i="17771" s="1"/>
  <c r="BD37" i="17771"/>
  <c r="BF38" i="17771"/>
  <c r="BO38" i="17771"/>
  <c r="CB38" i="17771"/>
  <c r="Y39" i="17771"/>
  <c r="BO39" i="17771"/>
  <c r="BA40" i="17771"/>
  <c r="CA40" i="17771"/>
  <c r="AD39" i="17771"/>
  <c r="BE40" i="17771"/>
  <c r="BE31" i="17771" s="1"/>
  <c r="BE22" i="17771" s="1"/>
  <c r="BH41" i="17771"/>
  <c r="AA41" i="17771"/>
  <c r="CB41" i="17771"/>
  <c r="BX42" i="17771"/>
  <c r="BX33" i="17771" s="1"/>
  <c r="BX24" i="17771" s="1"/>
  <c r="BO42" i="17771"/>
  <c r="AF42" i="17771"/>
  <c r="BI42" i="17771" s="1"/>
  <c r="BB42" i="17771"/>
  <c r="BE42" i="17771"/>
  <c r="BS42" i="17771"/>
  <c r="BO43" i="17771"/>
  <c r="AA43" i="17771"/>
  <c r="BQ54" i="17771"/>
  <c r="X45" i="17771"/>
  <c r="BF54" i="17771"/>
  <c r="BF45" i="17771" s="1"/>
  <c r="BF46" i="17771"/>
  <c r="AF40" i="17771"/>
  <c r="BB40" i="17771"/>
  <c r="P45" i="17771"/>
  <c r="AB45" i="17771"/>
  <c r="BY45" i="17771" s="1"/>
  <c r="AD50" i="17771"/>
  <c r="AB54" i="17771"/>
  <c r="AY54" i="17771" s="1"/>
  <c r="AV54" i="17771"/>
  <c r="AZ54" i="17771"/>
  <c r="BD54" i="17771"/>
  <c r="BA55" i="17771"/>
  <c r="BO55" i="17771"/>
  <c r="BX55" i="17771"/>
  <c r="AA56" i="17771"/>
  <c r="AA57" i="17771"/>
  <c r="AA58" i="17771"/>
  <c r="AF59" i="17771"/>
  <c r="BI59" i="17771" s="1"/>
  <c r="BB59" i="17771"/>
  <c r="Y62" i="17771"/>
  <c r="Y70" i="17771"/>
  <c r="Y78" i="17771"/>
  <c r="AA79" i="17771"/>
  <c r="BS79" i="17771"/>
  <c r="BN80" i="17771"/>
  <c r="BN47" i="17771" s="1"/>
  <c r="AA81" i="17771"/>
  <c r="BS81" i="17771"/>
  <c r="BN82" i="17771"/>
  <c r="BN49" i="17771" s="1"/>
  <c r="AA83" i="17771"/>
  <c r="BS83" i="17771"/>
  <c r="BN84" i="17771"/>
  <c r="BN51" i="17771" s="1"/>
  <c r="BQ85" i="17771"/>
  <c r="BQ86" i="17771"/>
  <c r="BM86" i="17771"/>
  <c r="BL86" i="17771" s="1"/>
  <c r="BO95" i="17771"/>
  <c r="AA95" i="17771"/>
  <c r="BS95" i="17771"/>
  <c r="Z94" i="17771"/>
  <c r="BO97" i="17771"/>
  <c r="AA97" i="17771"/>
  <c r="BS97" i="17771"/>
  <c r="BO99" i="17771"/>
  <c r="AA99" i="17771"/>
  <c r="BS99" i="17771"/>
  <c r="BB112" i="17771"/>
  <c r="AF112" i="17771"/>
  <c r="Y54" i="17771"/>
  <c r="W54" i="17771" s="1"/>
  <c r="BP54" i="17771" s="1"/>
  <c r="BB55" i="17771"/>
  <c r="CA55" i="17771"/>
  <c r="BR56" i="17771"/>
  <c r="BR57" i="17771"/>
  <c r="BR58" i="17771"/>
  <c r="AW59" i="17771"/>
  <c r="AW50" i="17771" s="1"/>
  <c r="BE59" i="17771"/>
  <c r="BE50" i="17771" s="1"/>
  <c r="BS60" i="17771"/>
  <c r="Z62" i="17771"/>
  <c r="BS63" i="17771"/>
  <c r="BS64" i="17771"/>
  <c r="BS65" i="17771"/>
  <c r="BS66" i="17771"/>
  <c r="BS67" i="17771"/>
  <c r="BS68" i="17771"/>
  <c r="Z70" i="17771"/>
  <c r="BS71" i="17771"/>
  <c r="BS72" i="17771"/>
  <c r="BS73" i="17771"/>
  <c r="BS74" i="17771"/>
  <c r="BS75" i="17771"/>
  <c r="BS76" i="17771"/>
  <c r="Z78" i="17771"/>
  <c r="BW78" i="17771"/>
  <c r="BU78" i="17771" s="1"/>
  <c r="BO87" i="17771"/>
  <c r="AA87" i="17771"/>
  <c r="BS87" i="17771"/>
  <c r="BO89" i="17771"/>
  <c r="BO48" i="17771" s="1"/>
  <c r="AA89" i="17771"/>
  <c r="BS89" i="17771"/>
  <c r="BO91" i="17771"/>
  <c r="AA91" i="17771"/>
  <c r="BS91" i="17771"/>
  <c r="BM93" i="17771"/>
  <c r="BN94" i="17771"/>
  <c r="BS55" i="17771"/>
  <c r="CB55" i="17771"/>
  <c r="BN59" i="17771"/>
  <c r="BW59" i="17771"/>
  <c r="BW50" i="17771" s="1"/>
  <c r="BM61" i="17771"/>
  <c r="BM69" i="17771"/>
  <c r="BM77" i="17771"/>
  <c r="BN79" i="17771"/>
  <c r="BN78" i="17771" s="1"/>
  <c r="BN81" i="17771"/>
  <c r="BN48" i="17771" s="1"/>
  <c r="BN31" i="17771" s="1"/>
  <c r="BN22" i="17771" s="1"/>
  <c r="BN83" i="17771"/>
  <c r="BO96" i="17771"/>
  <c r="AA96" i="17771"/>
  <c r="BS96" i="17771"/>
  <c r="BO98" i="17771"/>
  <c r="AA98" i="17771"/>
  <c r="BS98" i="17771"/>
  <c r="BO40" i="17771"/>
  <c r="AA48" i="17771"/>
  <c r="AA49" i="17771"/>
  <c r="AA50" i="17771"/>
  <c r="AA51" i="17771"/>
  <c r="R54" i="17771"/>
  <c r="R45" i="17771" s="1"/>
  <c r="R28" i="17771" s="1"/>
  <c r="AE54" i="17771"/>
  <c r="BM54" i="17771"/>
  <c r="BV54" i="17771"/>
  <c r="AF55" i="17771"/>
  <c r="BG55" i="17771" s="1"/>
  <c r="AX55" i="17771"/>
  <c r="BN55" i="17771"/>
  <c r="BO59" i="17771"/>
  <c r="BO50" i="17771" s="1"/>
  <c r="AA60" i="17771"/>
  <c r="BM62" i="17771"/>
  <c r="BL62" i="17771" s="1"/>
  <c r="AA63" i="17771"/>
  <c r="AA64" i="17771"/>
  <c r="AA65" i="17771"/>
  <c r="AA66" i="17771"/>
  <c r="AA67" i="17771"/>
  <c r="AA68" i="17771"/>
  <c r="BM70" i="17771"/>
  <c r="BL70" i="17771" s="1"/>
  <c r="AA71" i="17771"/>
  <c r="AA72" i="17771"/>
  <c r="AA73" i="17771"/>
  <c r="AA74" i="17771"/>
  <c r="AA75" i="17771"/>
  <c r="AA76" i="17771"/>
  <c r="BM78" i="17771"/>
  <c r="BO88" i="17771"/>
  <c r="BO47" i="17771" s="1"/>
  <c r="AA88" i="17771"/>
  <c r="BS88" i="17771"/>
  <c r="BO90" i="17771"/>
  <c r="BO49" i="17771" s="1"/>
  <c r="AA90" i="17771"/>
  <c r="BS90" i="17771"/>
  <c r="BO92" i="17771"/>
  <c r="BO51" i="17771" s="1"/>
  <c r="AA92" i="17771"/>
  <c r="BS92" i="17771"/>
  <c r="BG111" i="17771"/>
  <c r="BS100" i="17771"/>
  <c r="Z102" i="17771"/>
  <c r="BS103" i="17771"/>
  <c r="BS104" i="17771"/>
  <c r="BS105" i="17771"/>
  <c r="BN106" i="17771"/>
  <c r="BN108" i="17771"/>
  <c r="L110" i="17771"/>
  <c r="CB111" i="17771"/>
  <c r="BH111" i="17771"/>
  <c r="BS111" i="17771"/>
  <c r="BI112" i="17771"/>
  <c r="CB113" i="17771"/>
  <c r="F113" i="17771"/>
  <c r="BI114" i="17771"/>
  <c r="BB114" i="17771"/>
  <c r="AF114" i="17771"/>
  <c r="BQ119" i="17771"/>
  <c r="X110" i="17771"/>
  <c r="BM101" i="17771"/>
  <c r="BO106" i="17771"/>
  <c r="BO108" i="17771"/>
  <c r="BO102" i="17771" s="1"/>
  <c r="BB113" i="17771"/>
  <c r="AF113" i="17771"/>
  <c r="BI113" i="17771" s="1"/>
  <c r="BM94" i="17771"/>
  <c r="BL94" i="17771" s="1"/>
  <c r="AA100" i="17771"/>
  <c r="BM102" i="17771"/>
  <c r="AA103" i="17771"/>
  <c r="AA104" i="17771"/>
  <c r="AA105" i="17771"/>
  <c r="AA106" i="17771"/>
  <c r="BN107" i="17771"/>
  <c r="BN102" i="17771" s="1"/>
  <c r="AA108" i="17771"/>
  <c r="P111" i="17771"/>
  <c r="BI111" i="17771" s="1"/>
  <c r="BB111" i="17771"/>
  <c r="AF111" i="17771"/>
  <c r="BH112" i="17771"/>
  <c r="BS112" i="17771"/>
  <c r="BH114" i="17771"/>
  <c r="BW119" i="17771"/>
  <c r="BW110" i="17771" s="1"/>
  <c r="BW111" i="17771"/>
  <c r="Y86" i="17771"/>
  <c r="Y94" i="17771"/>
  <c r="Y102" i="17771"/>
  <c r="F110" i="17771"/>
  <c r="K110" i="17771"/>
  <c r="E112" i="17771"/>
  <c r="BH113" i="17771"/>
  <c r="BS113" i="17771"/>
  <c r="CB114" i="17771"/>
  <c r="F114" i="17771"/>
  <c r="BG114" i="17771" s="1"/>
  <c r="BB121" i="17771"/>
  <c r="BX121" i="17771"/>
  <c r="BX112" i="17771" s="1"/>
  <c r="BO121" i="17771"/>
  <c r="BF121" i="17771"/>
  <c r="BF112" i="17771" s="1"/>
  <c r="AX121" i="17771"/>
  <c r="CB121" i="17771"/>
  <c r="AF121" i="17771"/>
  <c r="BG121" i="17771" s="1"/>
  <c r="P110" i="17771"/>
  <c r="AB119" i="17771"/>
  <c r="BY119" i="17771" s="1"/>
  <c r="AX120" i="17771"/>
  <c r="BF120" i="17771"/>
  <c r="BN120" i="17771"/>
  <c r="Z121" i="17771"/>
  <c r="AW121" i="17771"/>
  <c r="BE121" i="17771"/>
  <c r="BE119" i="17771" s="1"/>
  <c r="AX122" i="17771"/>
  <c r="AX113" i="17771" s="1"/>
  <c r="AX31" i="17771" s="1"/>
  <c r="BF122" i="17771"/>
  <c r="BF113" i="17771" s="1"/>
  <c r="BF31" i="17771" s="1"/>
  <c r="BF22" i="17771" s="1"/>
  <c r="BN122" i="17771"/>
  <c r="BN113" i="17771" s="1"/>
  <c r="BX122" i="17771"/>
  <c r="BX113" i="17771" s="1"/>
  <c r="BX31" i="17771" s="1"/>
  <c r="BX22" i="17771" s="1"/>
  <c r="BN125" i="17771"/>
  <c r="BN116" i="17771" s="1"/>
  <c r="AD127" i="17771"/>
  <c r="BR127" i="17771" s="1"/>
  <c r="AV127" i="17771"/>
  <c r="AA128" i="17771"/>
  <c r="BF127" i="17771"/>
  <c r="BB129" i="17771"/>
  <c r="AF129" i="17771"/>
  <c r="AE127" i="17771"/>
  <c r="CB129" i="17771"/>
  <c r="AX129" i="17771"/>
  <c r="BB131" i="17771"/>
  <c r="BX131" i="17771"/>
  <c r="BX114" i="17771" s="1"/>
  <c r="BO131" i="17771"/>
  <c r="CB131" i="17771"/>
  <c r="BO135" i="17771"/>
  <c r="BO120" i="17771"/>
  <c r="BX120" i="17771"/>
  <c r="BO122" i="17771"/>
  <c r="BO113" i="17771" s="1"/>
  <c r="CB122" i="17771"/>
  <c r="BN123" i="17771"/>
  <c r="BN114" i="17771" s="1"/>
  <c r="BQ127" i="17771"/>
  <c r="AX127" i="17771"/>
  <c r="BI129" i="17771"/>
  <c r="BO132" i="17771"/>
  <c r="BO115" i="17771" s="1"/>
  <c r="AA132" i="17771"/>
  <c r="BS132" i="17771"/>
  <c r="BM134" i="17771"/>
  <c r="F115" i="17771"/>
  <c r="BG115" i="17771" s="1"/>
  <c r="F116" i="17771"/>
  <c r="BG116" i="17771" s="1"/>
  <c r="BM119" i="17771"/>
  <c r="BV119" i="17771"/>
  <c r="BZ119" i="17771"/>
  <c r="AF120" i="17771"/>
  <c r="BG120" i="17771" s="1"/>
  <c r="BB120" i="17771"/>
  <c r="BA121" i="17771"/>
  <c r="AF122" i="17771"/>
  <c r="BI122" i="17771" s="1"/>
  <c r="BB122" i="17771"/>
  <c r="BS122" i="17771"/>
  <c r="BO123" i="17771"/>
  <c r="BO114" i="17771" s="1"/>
  <c r="BM126" i="17771"/>
  <c r="BH131" i="17771"/>
  <c r="AA131" i="17771"/>
  <c r="Z129" i="17771"/>
  <c r="BS131" i="17771"/>
  <c r="BN131" i="17771"/>
  <c r="AA111" i="17771"/>
  <c r="AA112" i="17771"/>
  <c r="AA113" i="17771"/>
  <c r="AA114" i="17771"/>
  <c r="AA115" i="17771"/>
  <c r="AA116" i="17771"/>
  <c r="AE119" i="17771"/>
  <c r="CB119" i="17771" s="1"/>
  <c r="AV119" i="17771"/>
  <c r="AZ119" i="17771"/>
  <c r="AA120" i="17771"/>
  <c r="Y121" i="17771"/>
  <c r="AA123" i="17771"/>
  <c r="BN124" i="17771"/>
  <c r="BN115" i="17771" s="1"/>
  <c r="AA125" i="17771"/>
  <c r="CB127" i="17771"/>
  <c r="BB127" i="17771"/>
  <c r="BM127" i="17771"/>
  <c r="BL127" i="17771" s="1"/>
  <c r="BV127" i="17771"/>
  <c r="BU127" i="17771" s="1"/>
  <c r="CA129" i="17771"/>
  <c r="BE129" i="17771"/>
  <c r="BE127" i="17771" s="1"/>
  <c r="BC127" i="17771" s="1"/>
  <c r="AW129" i="17771"/>
  <c r="AW127" i="17771" s="1"/>
  <c r="BI131" i="17771"/>
  <c r="BO133" i="17771"/>
  <c r="BO116" i="17771" s="1"/>
  <c r="AA133" i="17771"/>
  <c r="BS133" i="17771"/>
  <c r="BQ144" i="17771"/>
  <c r="BA128" i="17771"/>
  <c r="BO128" i="17771"/>
  <c r="AW131" i="17771"/>
  <c r="AW114" i="17771" s="1"/>
  <c r="AW32" i="17771" s="1"/>
  <c r="AW23" i="17771" s="1"/>
  <c r="F135" i="17771"/>
  <c r="BG135" i="17771" s="1"/>
  <c r="Z135" i="17771"/>
  <c r="BS136" i="17771"/>
  <c r="BS137" i="17771"/>
  <c r="BS138" i="17771"/>
  <c r="BS139" i="17771"/>
  <c r="BS140" i="17771"/>
  <c r="BS141" i="17771"/>
  <c r="AZ142" i="17771"/>
  <c r="BV144" i="17771"/>
  <c r="CA145" i="17771"/>
  <c r="BW145" i="17771"/>
  <c r="BN145" i="17771"/>
  <c r="AW145" i="17771"/>
  <c r="AW20" i="17771" s="1"/>
  <c r="BG145" i="17771"/>
  <c r="BH147" i="17771"/>
  <c r="BW147" i="17771"/>
  <c r="BW22" i="17771" s="1"/>
  <c r="BN147" i="17771"/>
  <c r="AD146" i="17771"/>
  <c r="CA147" i="17771"/>
  <c r="BA147" i="17771"/>
  <c r="AW147" i="17771"/>
  <c r="AW22" i="17771" s="1"/>
  <c r="BB148" i="17771"/>
  <c r="AF148" i="17771"/>
  <c r="BH148" i="17771" s="1"/>
  <c r="BX148" i="17771"/>
  <c r="BO148" i="17771"/>
  <c r="BF148" i="17771"/>
  <c r="BF23" i="17771" s="1"/>
  <c r="AX148" i="17771"/>
  <c r="AX23" i="17771" s="1"/>
  <c r="CB148" i="17771"/>
  <c r="BS148" i="17771"/>
  <c r="G160" i="17771"/>
  <c r="W153" i="17771"/>
  <c r="BD142" i="17771"/>
  <c r="BD117" i="17771" s="1"/>
  <c r="BD35" i="17771" s="1"/>
  <c r="BD26" i="17771" s="1"/>
  <c r="BD144" i="17771"/>
  <c r="BH145" i="17771"/>
  <c r="BS145" i="17771"/>
  <c r="BF146" i="17771"/>
  <c r="BF144" i="17771" s="1"/>
  <c r="AX146" i="17771"/>
  <c r="BB146" i="17771"/>
  <c r="BX146" i="17771"/>
  <c r="BX144" i="17771" s="1"/>
  <c r="BR148" i="17771"/>
  <c r="AA148" i="17771"/>
  <c r="BS153" i="17771"/>
  <c r="BO153" i="17771"/>
  <c r="AA153" i="17771"/>
  <c r="BC153" i="17771"/>
  <c r="BM135" i="17771"/>
  <c r="BL135" i="17771" s="1"/>
  <c r="AA136" i="17771"/>
  <c r="AA137" i="17771"/>
  <c r="AA138" i="17771"/>
  <c r="AA139" i="17771"/>
  <c r="AA140" i="17771"/>
  <c r="AA141" i="17771"/>
  <c r="X142" i="17771"/>
  <c r="AZ144" i="17771"/>
  <c r="BM144" i="17771"/>
  <c r="BI147" i="17771"/>
  <c r="BL155" i="17771"/>
  <c r="BN128" i="17771"/>
  <c r="BN127" i="17771" s="1"/>
  <c r="AE144" i="17771"/>
  <c r="AV144" i="17771"/>
  <c r="AA145" i="17771"/>
  <c r="R146" i="17771"/>
  <c r="R21" i="17771" s="1"/>
  <c r="Y146" i="17771"/>
  <c r="BO146" i="17771"/>
  <c r="BO144" i="17771" s="1"/>
  <c r="AA147" i="17771"/>
  <c r="Z146" i="17771"/>
  <c r="BO147" i="17771"/>
  <c r="BS147" i="17771"/>
  <c r="BU153" i="17771"/>
  <c r="F153" i="17771"/>
  <c r="BG153" i="17771" s="1"/>
  <c r="K153" i="17771"/>
  <c r="BH153" i="17771" s="1"/>
  <c r="P153" i="17771"/>
  <c r="BI153" i="17771" s="1"/>
  <c r="BM153" i="17771"/>
  <c r="BQ153" i="17771"/>
  <c r="BO155" i="17771"/>
  <c r="BN156" i="17771"/>
  <c r="BL156" i="17771" s="1"/>
  <c r="W157" i="17771"/>
  <c r="BP157" i="17771" s="1"/>
  <c r="AA157" i="17771"/>
  <c r="BM157" i="17771"/>
  <c r="BL157" i="17771" s="1"/>
  <c r="AX145" i="17771"/>
  <c r="BB147" i="17771"/>
  <c r="BN148" i="17771"/>
  <c r="BN149" i="17771"/>
  <c r="BN150" i="17771"/>
  <c r="B153" i="17771"/>
  <c r="L153" i="17771"/>
  <c r="AW153" i="17771"/>
  <c r="AU153" i="17771" s="1"/>
  <c r="BA153" i="17771"/>
  <c r="BE153" i="17771"/>
  <c r="BN153" i="17771"/>
  <c r="W154" i="17771"/>
  <c r="BP154" i="17771" s="1"/>
  <c r="AA154" i="17771"/>
  <c r="BM154" i="17771"/>
  <c r="BL154" i="17771" s="1"/>
  <c r="BO156" i="17771"/>
  <c r="BS156" i="17771"/>
  <c r="BN157" i="17771"/>
  <c r="W158" i="17771"/>
  <c r="BP158" i="17771" s="1"/>
  <c r="BM158" i="17771"/>
  <c r="BL158" i="17771" s="1"/>
  <c r="BJ153" i="17771"/>
  <c r="BJ160" i="17771" s="1"/>
  <c r="BO157" i="17771"/>
  <c r="BN158" i="17771"/>
  <c r="AX147" i="17771"/>
  <c r="BO154" i="17771"/>
  <c r="BN155" i="17771"/>
  <c r="BE110" i="17771" l="1"/>
  <c r="BC110" i="17771" s="1"/>
  <c r="BC119" i="17771"/>
  <c r="CB144" i="17771"/>
  <c r="BL153" i="17771"/>
  <c r="Z144" i="17771"/>
  <c r="BS146" i="17771"/>
  <c r="AA146" i="17771"/>
  <c r="Z21" i="17771"/>
  <c r="AX144" i="17771"/>
  <c r="BO127" i="17771"/>
  <c r="AV110" i="17771"/>
  <c r="BA127" i="17771"/>
  <c r="BX119" i="17771"/>
  <c r="BX110" i="17771" s="1"/>
  <c r="BX111" i="17771"/>
  <c r="BH129" i="17771"/>
  <c r="BG129" i="17771"/>
  <c r="AX22" i="17771"/>
  <c r="BN119" i="17771"/>
  <c r="BN110" i="17771" s="1"/>
  <c r="BN111" i="17771"/>
  <c r="BR94" i="17771"/>
  <c r="W94" i="17771"/>
  <c r="BP94" i="17771" s="1"/>
  <c r="BQ110" i="17771"/>
  <c r="BN54" i="17771"/>
  <c r="BN45" i="17771" s="1"/>
  <c r="BN46" i="17771"/>
  <c r="BN29" i="17771" s="1"/>
  <c r="BN20" i="17771" s="1"/>
  <c r="BM45" i="17771"/>
  <c r="BM28" i="17771" s="1"/>
  <c r="BM52" i="17771"/>
  <c r="BO94" i="17771"/>
  <c r="BD45" i="17771"/>
  <c r="BD28" i="17771" s="1"/>
  <c r="AF50" i="17771"/>
  <c r="AD33" i="17771"/>
  <c r="BG40" i="17771"/>
  <c r="BI40" i="17771"/>
  <c r="BE54" i="17771"/>
  <c r="BE45" i="17771" s="1"/>
  <c r="BQ45" i="17771"/>
  <c r="X28" i="17771"/>
  <c r="BY54" i="17771"/>
  <c r="BO34" i="17771"/>
  <c r="BO25" i="17771" s="1"/>
  <c r="Y37" i="17771"/>
  <c r="Y30" i="17771"/>
  <c r="AA39" i="17771"/>
  <c r="BR39" i="17771"/>
  <c r="B19" i="17771"/>
  <c r="BH59" i="17771"/>
  <c r="BW29" i="17771"/>
  <c r="BW20" i="17771" s="1"/>
  <c r="AY45" i="17771"/>
  <c r="BN32" i="17771"/>
  <c r="BN23" i="17771" s="1"/>
  <c r="BG32" i="17771"/>
  <c r="BH20" i="17771"/>
  <c r="BH29" i="17771"/>
  <c r="AU144" i="17771"/>
  <c r="BP153" i="17771"/>
  <c r="BG148" i="17771"/>
  <c r="BI148" i="17771"/>
  <c r="BW144" i="17771"/>
  <c r="BB144" i="17771"/>
  <c r="AA135" i="17771"/>
  <c r="BS135" i="17771"/>
  <c r="BR121" i="17771"/>
  <c r="BN121" i="17771"/>
  <c r="BN112" i="17771" s="1"/>
  <c r="Y119" i="17771"/>
  <c r="AE110" i="17771"/>
  <c r="BB119" i="17771"/>
  <c r="AF119" i="17771"/>
  <c r="BS129" i="17771"/>
  <c r="AA129" i="17771"/>
  <c r="Z127" i="17771"/>
  <c r="BO129" i="17771"/>
  <c r="BO119" i="17771"/>
  <c r="BO110" i="17771" s="1"/>
  <c r="BO111" i="17771"/>
  <c r="AU127" i="17771"/>
  <c r="BE112" i="17771"/>
  <c r="BF119" i="17771"/>
  <c r="BF110" i="17771" s="1"/>
  <c r="BF111" i="17771"/>
  <c r="BO112" i="17771"/>
  <c r="BR86" i="17771"/>
  <c r="W86" i="17771"/>
  <c r="BP86" i="17771" s="1"/>
  <c r="BH122" i="17771"/>
  <c r="BG122" i="17771"/>
  <c r="AX54" i="17771"/>
  <c r="AX45" i="17771" s="1"/>
  <c r="AX46" i="17771"/>
  <c r="AE45" i="17771"/>
  <c r="BB54" i="17771"/>
  <c r="CB54" i="17771"/>
  <c r="AF54" i="17771"/>
  <c r="BO86" i="17771"/>
  <c r="AA62" i="17771"/>
  <c r="BS62" i="17771"/>
  <c r="Z45" i="17771"/>
  <c r="BS94" i="17771"/>
  <c r="AA94" i="17771"/>
  <c r="BR78" i="17771"/>
  <c r="W78" i="17771"/>
  <c r="BP78" i="17771" s="1"/>
  <c r="BX54" i="17771"/>
  <c r="BX45" i="17771" s="1"/>
  <c r="BX46" i="17771"/>
  <c r="BX29" i="17771" s="1"/>
  <c r="BX20" i="17771" s="1"/>
  <c r="BO33" i="17771"/>
  <c r="BO24" i="17771" s="1"/>
  <c r="BW54" i="17771"/>
  <c r="BW45" i="17771" s="1"/>
  <c r="BA50" i="17771"/>
  <c r="BF30" i="17771"/>
  <c r="BF21" i="17771" s="1"/>
  <c r="BO32" i="17771"/>
  <c r="BO23" i="17771" s="1"/>
  <c r="AX37" i="17771"/>
  <c r="AX28" i="17771" s="1"/>
  <c r="AX19" i="17771" s="1"/>
  <c r="AX160" i="17771" s="1"/>
  <c r="BH32" i="17771"/>
  <c r="BI20" i="17771"/>
  <c r="BI38" i="17771"/>
  <c r="BI31" i="17771"/>
  <c r="BG38" i="17771"/>
  <c r="BQ142" i="17771"/>
  <c r="BM142" i="17771"/>
  <c r="BM117" i="17771" s="1"/>
  <c r="BM35" i="17771" s="1"/>
  <c r="BM26" i="17771" s="1"/>
  <c r="X117" i="17771"/>
  <c r="BW146" i="17771"/>
  <c r="BN146" i="17771"/>
  <c r="BN144" i="17771" s="1"/>
  <c r="BL144" i="17771" s="1"/>
  <c r="CA146" i="17771"/>
  <c r="BA146" i="17771"/>
  <c r="AW146" i="17771"/>
  <c r="AD144" i="17771"/>
  <c r="BE146" i="17771"/>
  <c r="BE144" i="17771" s="1"/>
  <c r="BU119" i="17771"/>
  <c r="BV110" i="17771"/>
  <c r="BU110" i="17771" s="1"/>
  <c r="CA127" i="17771"/>
  <c r="AD110" i="17771"/>
  <c r="AW112" i="17771"/>
  <c r="AX119" i="17771"/>
  <c r="AX110" i="17771" s="1"/>
  <c r="AX111" i="17771"/>
  <c r="AX29" i="17771" s="1"/>
  <c r="AX20" i="17771" s="1"/>
  <c r="BH121" i="17771"/>
  <c r="AW119" i="17771"/>
  <c r="AW110" i="17771" s="1"/>
  <c r="BI55" i="17771"/>
  <c r="BH55" i="17771"/>
  <c r="R19" i="17771"/>
  <c r="R160" i="17771" s="1"/>
  <c r="BN50" i="17771"/>
  <c r="AA70" i="17771"/>
  <c r="BS70" i="17771"/>
  <c r="BS54" i="17771"/>
  <c r="W70" i="17771"/>
  <c r="BP70" i="17771" s="1"/>
  <c r="BR70" i="17771"/>
  <c r="BO54" i="17771"/>
  <c r="BO45" i="17771" s="1"/>
  <c r="BO46" i="17771"/>
  <c r="AV45" i="17771"/>
  <c r="BE33" i="17771"/>
  <c r="BE24" i="17771" s="1"/>
  <c r="BO30" i="17771"/>
  <c r="BO21" i="17771" s="1"/>
  <c r="BO37" i="17771"/>
  <c r="BO29" i="17771"/>
  <c r="BO20" i="17771" s="1"/>
  <c r="BX30" i="17771"/>
  <c r="BX21" i="17771" s="1"/>
  <c r="BX37" i="17771"/>
  <c r="BX28" i="17771" s="1"/>
  <c r="BX19" i="17771" s="1"/>
  <c r="BX160" i="17771" s="1"/>
  <c r="BX32" i="17771"/>
  <c r="BX23" i="17771" s="1"/>
  <c r="L19" i="17771"/>
  <c r="BR50" i="17771"/>
  <c r="BN34" i="17771"/>
  <c r="BN25" i="17771" s="1"/>
  <c r="BB37" i="17771"/>
  <c r="AE28" i="17771"/>
  <c r="Y33" i="17771"/>
  <c r="BG31" i="17771"/>
  <c r="BI22" i="17771"/>
  <c r="BG29" i="17771"/>
  <c r="AY153" i="17771"/>
  <c r="L160" i="17771"/>
  <c r="BR146" i="17771"/>
  <c r="Y144" i="17771"/>
  <c r="BY153" i="17771"/>
  <c r="B160" i="17771"/>
  <c r="R144" i="17771"/>
  <c r="AF146" i="17771"/>
  <c r="BC144" i="17771"/>
  <c r="AW144" i="17771"/>
  <c r="BU144" i="17771"/>
  <c r="AB127" i="17771"/>
  <c r="BL119" i="17771"/>
  <c r="BM110" i="17771"/>
  <c r="BL110" i="17771" s="1"/>
  <c r="AF127" i="17771"/>
  <c r="Z119" i="17771"/>
  <c r="AA121" i="17771"/>
  <c r="BS121" i="17771"/>
  <c r="AX112" i="17771"/>
  <c r="AX30" i="17771" s="1"/>
  <c r="AX21" i="17771" s="1"/>
  <c r="CB112" i="17771"/>
  <c r="F112" i="17771"/>
  <c r="BG112" i="17771" s="1"/>
  <c r="E30" i="17771"/>
  <c r="BR102" i="17771"/>
  <c r="W102" i="17771"/>
  <c r="BP102" i="17771" s="1"/>
  <c r="BI121" i="17771"/>
  <c r="BI120" i="17771"/>
  <c r="BL102" i="17771"/>
  <c r="BH120" i="17771"/>
  <c r="AY119" i="17771"/>
  <c r="BG113" i="17771"/>
  <c r="AA102" i="17771"/>
  <c r="BS102" i="17771"/>
  <c r="BL78" i="17771"/>
  <c r="BV45" i="17771"/>
  <c r="BU45" i="17771" s="1"/>
  <c r="BO31" i="17771"/>
  <c r="BO22" i="17771" s="1"/>
  <c r="AA78" i="17771"/>
  <c r="BS78" i="17771"/>
  <c r="Y45" i="17771"/>
  <c r="BR45" i="17771" s="1"/>
  <c r="BR54" i="17771"/>
  <c r="W62" i="17771"/>
  <c r="BP62" i="17771" s="1"/>
  <c r="BR62" i="17771"/>
  <c r="AA54" i="17771"/>
  <c r="BW39" i="17771"/>
  <c r="BN39" i="17771"/>
  <c r="CA39" i="17771"/>
  <c r="BE39" i="17771"/>
  <c r="AD37" i="17771"/>
  <c r="AF37" i="17771" s="1"/>
  <c r="BA39" i="17771"/>
  <c r="AD30" i="17771"/>
  <c r="AW39" i="17771"/>
  <c r="AF39" i="17771"/>
  <c r="BF29" i="17771"/>
  <c r="BF20" i="17771" s="1"/>
  <c r="BF37" i="17771"/>
  <c r="AW54" i="17771"/>
  <c r="AW45" i="17771" s="1"/>
  <c r="BN33" i="17771"/>
  <c r="BN24" i="17771" s="1"/>
  <c r="AW33" i="17771"/>
  <c r="AW24" i="17771" s="1"/>
  <c r="BW33" i="17771"/>
  <c r="BW24" i="17771" s="1"/>
  <c r="CB37" i="17771"/>
  <c r="BG22" i="17771"/>
  <c r="BS37" i="17771"/>
  <c r="BH37" i="17771" l="1"/>
  <c r="BG37" i="17771"/>
  <c r="BI37" i="17771"/>
  <c r="BM19" i="17771"/>
  <c r="BM160" i="17771" s="1"/>
  <c r="BD19" i="17771"/>
  <c r="BD160" i="17771" s="1"/>
  <c r="BI39" i="17771"/>
  <c r="BH39" i="17771"/>
  <c r="BG39" i="17771"/>
  <c r="BW37" i="17771"/>
  <c r="BW30" i="17771"/>
  <c r="BW21" i="17771" s="1"/>
  <c r="AY127" i="17771"/>
  <c r="BP127" i="17771"/>
  <c r="BY127" i="17771"/>
  <c r="BI146" i="17771"/>
  <c r="BG146" i="17771"/>
  <c r="BH146" i="17771"/>
  <c r="AW30" i="17771"/>
  <c r="AW21" i="17771" s="1"/>
  <c r="AW37" i="17771"/>
  <c r="BH127" i="17771"/>
  <c r="BG127" i="17771"/>
  <c r="BI127" i="17771"/>
  <c r="AU45" i="17771"/>
  <c r="CA144" i="17771"/>
  <c r="BA144" i="17771"/>
  <c r="AB144" i="17771"/>
  <c r="AV28" i="17771"/>
  <c r="BF28" i="17771"/>
  <c r="BF19" i="17771" s="1"/>
  <c r="BF160" i="17771" s="1"/>
  <c r="BA30" i="17771"/>
  <c r="AD21" i="17771"/>
  <c r="CA30" i="17771"/>
  <c r="AF30" i="17771"/>
  <c r="BU54" i="17771"/>
  <c r="F30" i="17771"/>
  <c r="BG30" i="17771" s="1"/>
  <c r="E21" i="17771"/>
  <c r="CB30" i="17771"/>
  <c r="BR144" i="17771"/>
  <c r="W144" i="17771"/>
  <c r="BP144" i="17771" s="1"/>
  <c r="AU54" i="17771"/>
  <c r="BS45" i="17771"/>
  <c r="AA45" i="17771"/>
  <c r="BH54" i="17771"/>
  <c r="BI54" i="17771"/>
  <c r="BG54" i="17771"/>
  <c r="BG119" i="17771"/>
  <c r="BH119" i="17771"/>
  <c r="BI119" i="17771"/>
  <c r="BR37" i="17771"/>
  <c r="W37" i="17771"/>
  <c r="AA37" i="17771"/>
  <c r="BC54" i="17771"/>
  <c r="BL54" i="17771"/>
  <c r="AU110" i="17771"/>
  <c r="BS144" i="17771"/>
  <c r="AA144" i="17771"/>
  <c r="BN30" i="17771"/>
  <c r="BN21" i="17771" s="1"/>
  <c r="BN37" i="17771"/>
  <c r="BQ117" i="17771"/>
  <c r="X35" i="17771"/>
  <c r="BS127" i="17771"/>
  <c r="AA127" i="17771"/>
  <c r="W45" i="17771"/>
  <c r="BP45" i="17771" s="1"/>
  <c r="BA33" i="17771"/>
  <c r="AD24" i="17771"/>
  <c r="AF33" i="17771"/>
  <c r="AU119" i="17771"/>
  <c r="BS21" i="17771"/>
  <c r="AA119" i="17771"/>
  <c r="BS119" i="17771"/>
  <c r="Z110" i="17771"/>
  <c r="CA110" i="17771"/>
  <c r="BA110" i="17771"/>
  <c r="AB110" i="17771"/>
  <c r="AF110" i="17771"/>
  <c r="BB110" i="17771"/>
  <c r="CB110" i="17771"/>
  <c r="BV28" i="17771"/>
  <c r="BH50" i="17771"/>
  <c r="BI50" i="17771"/>
  <c r="AD28" i="17771"/>
  <c r="CA37" i="17771"/>
  <c r="BA37" i="17771"/>
  <c r="AB37" i="17771"/>
  <c r="BE30" i="17771"/>
  <c r="BE21" i="17771" s="1"/>
  <c r="BE37" i="17771"/>
  <c r="BR33" i="17771"/>
  <c r="Y24" i="17771"/>
  <c r="AA33" i="17771"/>
  <c r="BB28" i="17771"/>
  <c r="AF28" i="17771"/>
  <c r="AE19" i="17771"/>
  <c r="CB28" i="17771"/>
  <c r="BO28" i="17771"/>
  <c r="BO19" i="17771" s="1"/>
  <c r="BO160" i="17771" s="1"/>
  <c r="AF45" i="17771"/>
  <c r="BB45" i="17771"/>
  <c r="CB45" i="17771"/>
  <c r="BR119" i="17771"/>
  <c r="Y110" i="17771"/>
  <c r="Y28" i="17771" s="1"/>
  <c r="W119" i="17771"/>
  <c r="BP119" i="17771" s="1"/>
  <c r="BR30" i="17771"/>
  <c r="Y21" i="17771"/>
  <c r="BR21" i="17771" s="1"/>
  <c r="AA30" i="17771"/>
  <c r="BQ28" i="17771"/>
  <c r="X19" i="17771"/>
  <c r="BC45" i="17771"/>
  <c r="BL45" i="17771"/>
  <c r="AF144" i="17771"/>
  <c r="BR28" i="17771" l="1"/>
  <c r="Y19" i="17771"/>
  <c r="W28" i="17771"/>
  <c r="X160" i="17771"/>
  <c r="BQ160" i="17771" s="1"/>
  <c r="BQ19" i="17771"/>
  <c r="BE28" i="17771"/>
  <c r="BC37" i="17771"/>
  <c r="BI33" i="17771"/>
  <c r="BH33" i="17771"/>
  <c r="BP37" i="17771"/>
  <c r="BG144" i="17771"/>
  <c r="BH144" i="17771"/>
  <c r="BI144" i="17771"/>
  <c r="BV19" i="17771"/>
  <c r="BV160" i="17771" s="1"/>
  <c r="BS110" i="17771"/>
  <c r="AA110" i="17771"/>
  <c r="AA21" i="17771"/>
  <c r="BI30" i="17771"/>
  <c r="BH30" i="17771"/>
  <c r="AE160" i="17771"/>
  <c r="BB19" i="17771"/>
  <c r="CB19" i="17771"/>
  <c r="BR24" i="17771"/>
  <c r="AA24" i="17771"/>
  <c r="AD19" i="17771"/>
  <c r="AB28" i="17771"/>
  <c r="BA28" i="17771"/>
  <c r="CA28" i="17771"/>
  <c r="BQ35" i="17771"/>
  <c r="X26" i="17771"/>
  <c r="BQ26" i="17771" s="1"/>
  <c r="Z28" i="17771"/>
  <c r="F21" i="17771"/>
  <c r="BG21" i="17771" s="1"/>
  <c r="CB21" i="17771"/>
  <c r="AV19" i="17771"/>
  <c r="AV160" i="17771" s="1"/>
  <c r="AW28" i="17771"/>
  <c r="AW19" i="17771" s="1"/>
  <c r="AW160" i="17771" s="1"/>
  <c r="AU37" i="17771"/>
  <c r="BR110" i="17771"/>
  <c r="W110" i="17771"/>
  <c r="BP110" i="17771" s="1"/>
  <c r="BG45" i="17771"/>
  <c r="BH45" i="17771"/>
  <c r="BI45" i="17771"/>
  <c r="BI28" i="17771"/>
  <c r="BH28" i="17771"/>
  <c r="BG28" i="17771"/>
  <c r="BY37" i="17771"/>
  <c r="AY37" i="17771"/>
  <c r="BA21" i="17771"/>
  <c r="CA21" i="17771"/>
  <c r="AF21" i="17771"/>
  <c r="BY144" i="17771"/>
  <c r="AY144" i="17771"/>
  <c r="BW28" i="17771"/>
  <c r="BW19" i="17771" s="1"/>
  <c r="BW160" i="17771" s="1"/>
  <c r="BU37" i="17771"/>
  <c r="BI110" i="17771"/>
  <c r="BH110" i="17771"/>
  <c r="BG110" i="17771"/>
  <c r="BN28" i="17771"/>
  <c r="BL37" i="17771"/>
  <c r="BY110" i="17771"/>
  <c r="AY110" i="17771"/>
  <c r="BA24" i="17771"/>
  <c r="AF24" i="17771"/>
  <c r="AU28" i="17771" l="1"/>
  <c r="AU19" i="17771" s="1"/>
  <c r="AU160" i="17771" s="1"/>
  <c r="BS28" i="17771"/>
  <c r="AA28" i="17771"/>
  <c r="Z19" i="17771"/>
  <c r="BN19" i="17771"/>
  <c r="BN160" i="17771" s="1"/>
  <c r="BL28" i="17771"/>
  <c r="BL19" i="17771" s="1"/>
  <c r="BL160" i="17771" s="1"/>
  <c r="BI21" i="17771"/>
  <c r="BH21" i="17771"/>
  <c r="AB19" i="17771"/>
  <c r="BY28" i="17771"/>
  <c r="AY28" i="17771"/>
  <c r="AD160" i="17771"/>
  <c r="CA19" i="17771"/>
  <c r="BA19" i="17771"/>
  <c r="AF19" i="17771"/>
  <c r="BU28" i="17771"/>
  <c r="BU19" i="17771" s="1"/>
  <c r="BU160" i="17771" s="1"/>
  <c r="BP28" i="17771"/>
  <c r="W19" i="17771"/>
  <c r="BE19" i="17771"/>
  <c r="BE160" i="17771" s="1"/>
  <c r="BC28" i="17771"/>
  <c r="Y160" i="17771"/>
  <c r="BR160" i="17771" s="1"/>
  <c r="BR19" i="17771"/>
  <c r="BH24" i="17771"/>
  <c r="BI24" i="17771"/>
  <c r="AF160" i="17771"/>
  <c r="BB160" i="17771"/>
  <c r="CB160" i="17771"/>
  <c r="BP19" i="17771" l="1"/>
  <c r="W160" i="17771"/>
  <c r="BG160" i="17771"/>
  <c r="BI160" i="17771"/>
  <c r="BH160" i="17771"/>
  <c r="AB160" i="17771"/>
  <c r="BY19" i="17771"/>
  <c r="AY19" i="17771"/>
  <c r="BC19" i="17771"/>
  <c r="BC160" i="17771" s="1"/>
  <c r="CA160" i="17771"/>
  <c r="BA160" i="17771"/>
  <c r="Z160" i="17771"/>
  <c r="BS19" i="17771"/>
  <c r="AA19" i="17771"/>
  <c r="BI19" i="17771"/>
  <c r="BH19" i="17771"/>
  <c r="BG19" i="17771"/>
  <c r="BY160" i="17771" l="1"/>
  <c r="AY160" i="17771"/>
  <c r="BP160" i="17771"/>
  <c r="BS160" i="17771"/>
  <c r="AA160" i="17771"/>
  <c r="F14" i="17765" l="1"/>
  <c r="H57" i="32" l="1"/>
  <c r="G57" i="32"/>
  <c r="H47" i="17770" l="1"/>
  <c r="I47" i="17770" s="1"/>
  <c r="G47" i="17770"/>
  <c r="F47" i="17770"/>
  <c r="E47" i="17770"/>
  <c r="D47" i="17770"/>
  <c r="I46" i="17770"/>
  <c r="I45" i="17770"/>
  <c r="G37" i="17770"/>
  <c r="F37" i="17770"/>
  <c r="I37" i="17770" s="1"/>
  <c r="E37" i="17770"/>
  <c r="D37" i="17770"/>
  <c r="I36" i="17770"/>
  <c r="G36" i="17770"/>
  <c r="F36" i="17770"/>
  <c r="E36" i="17770"/>
  <c r="D36" i="17770"/>
  <c r="G35" i="17770"/>
  <c r="F35" i="17770"/>
  <c r="E35" i="17770"/>
  <c r="I35" i="17770" s="1"/>
  <c r="D35" i="17770"/>
  <c r="D31" i="17770" s="1"/>
  <c r="G34" i="17770"/>
  <c r="F34" i="17770"/>
  <c r="F31" i="17770" s="1"/>
  <c r="E34" i="17770"/>
  <c r="E31" i="17770" s="1"/>
  <c r="D34" i="17770"/>
  <c r="G31" i="17770"/>
  <c r="I29" i="17770"/>
  <c r="I28" i="17770"/>
  <c r="I25" i="17770"/>
  <c r="I23" i="17770"/>
  <c r="I21" i="17770"/>
  <c r="I20" i="17770"/>
  <c r="I19" i="17770"/>
  <c r="I18" i="17770"/>
  <c r="I17" i="17770"/>
  <c r="K86" i="17769"/>
  <c r="J86" i="17769"/>
  <c r="L86" i="17769" s="1"/>
  <c r="H86" i="17769"/>
  <c r="I86" i="17769" s="1"/>
  <c r="G86" i="17769"/>
  <c r="E86" i="17769"/>
  <c r="D86" i="17769"/>
  <c r="F86" i="17769" s="1"/>
  <c r="L85" i="17769"/>
  <c r="I85" i="17769"/>
  <c r="F85" i="17769"/>
  <c r="L84" i="17769"/>
  <c r="I84" i="17769"/>
  <c r="F84" i="17769"/>
  <c r="K77" i="17769"/>
  <c r="J77" i="17769"/>
  <c r="H77" i="17769"/>
  <c r="G77" i="17769"/>
  <c r="E77" i="17769"/>
  <c r="D77" i="17769"/>
  <c r="N76" i="17769"/>
  <c r="M76" i="17769"/>
  <c r="L76" i="17769"/>
  <c r="I76" i="17769"/>
  <c r="F76" i="17769"/>
  <c r="N75" i="17769"/>
  <c r="M75" i="17769"/>
  <c r="L75" i="17769"/>
  <c r="I75" i="17769"/>
  <c r="F75" i="17769"/>
  <c r="K60" i="17769"/>
  <c r="J60" i="17769"/>
  <c r="H60" i="17769"/>
  <c r="G60" i="17769"/>
  <c r="E60" i="17769"/>
  <c r="D60" i="17769"/>
  <c r="L59" i="17769"/>
  <c r="I59" i="17769"/>
  <c r="F59" i="17769"/>
  <c r="L58" i="17769"/>
  <c r="I58" i="17769"/>
  <c r="F58" i="17769"/>
  <c r="K57" i="17769"/>
  <c r="J57" i="17769"/>
  <c r="H57" i="17769"/>
  <c r="H61" i="17769" s="1"/>
  <c r="G57" i="17769"/>
  <c r="E57" i="17769"/>
  <c r="D57" i="17769"/>
  <c r="D61" i="17769" s="1"/>
  <c r="L56" i="17769"/>
  <c r="I56" i="17769"/>
  <c r="F56" i="17769"/>
  <c r="L55" i="17769"/>
  <c r="I55" i="17769"/>
  <c r="F55" i="17769"/>
  <c r="K52" i="17769"/>
  <c r="J52" i="17769"/>
  <c r="L52" i="17769" s="1"/>
  <c r="H52" i="17769"/>
  <c r="H53" i="17769" s="1"/>
  <c r="G52" i="17769"/>
  <c r="E52" i="17769"/>
  <c r="D52" i="17769"/>
  <c r="L51" i="17769"/>
  <c r="I51" i="17769"/>
  <c r="F51" i="17769"/>
  <c r="L50" i="17769"/>
  <c r="I50" i="17769"/>
  <c r="F50" i="17769"/>
  <c r="K49" i="17769"/>
  <c r="K53" i="17769" s="1"/>
  <c r="J49" i="17769"/>
  <c r="I49" i="17769"/>
  <c r="H49" i="17769"/>
  <c r="G49" i="17769"/>
  <c r="E49" i="17769"/>
  <c r="D49" i="17769"/>
  <c r="L48" i="17769"/>
  <c r="I48" i="17769"/>
  <c r="F48" i="17769"/>
  <c r="L47" i="17769"/>
  <c r="I47" i="17769"/>
  <c r="F47" i="17769"/>
  <c r="L46" i="17769"/>
  <c r="I46" i="17769"/>
  <c r="F46" i="17769"/>
  <c r="L45" i="17769"/>
  <c r="I45" i="17769"/>
  <c r="F45" i="17769"/>
  <c r="L43" i="17769"/>
  <c r="I43" i="17769"/>
  <c r="F43" i="17769"/>
  <c r="L32" i="17769"/>
  <c r="K32" i="17769"/>
  <c r="J32" i="17769"/>
  <c r="H32" i="17769"/>
  <c r="N32" i="17769" s="1"/>
  <c r="G32" i="17769"/>
  <c r="E32" i="17769"/>
  <c r="D32" i="17769"/>
  <c r="F32" i="17769" s="1"/>
  <c r="N31" i="17769"/>
  <c r="M31" i="17769"/>
  <c r="L31" i="17769"/>
  <c r="I31" i="17769"/>
  <c r="F31" i="17769"/>
  <c r="L30" i="17769"/>
  <c r="I30" i="17769"/>
  <c r="F30" i="17769"/>
  <c r="K29" i="17769"/>
  <c r="N29" i="17769" s="1"/>
  <c r="J29" i="17769"/>
  <c r="H29" i="17769"/>
  <c r="G29" i="17769"/>
  <c r="I29" i="17769" s="1"/>
  <c r="E29" i="17769"/>
  <c r="D29" i="17769"/>
  <c r="N28" i="17769"/>
  <c r="M28" i="17769"/>
  <c r="L28" i="17769"/>
  <c r="I28" i="17769"/>
  <c r="F28" i="17769"/>
  <c r="M27" i="17769"/>
  <c r="L27" i="17769"/>
  <c r="O27" i="17769" s="1"/>
  <c r="I27" i="17769"/>
  <c r="F27" i="17769"/>
  <c r="K24" i="17769"/>
  <c r="J24" i="17769"/>
  <c r="M24" i="17769" s="1"/>
  <c r="H24" i="17769"/>
  <c r="G24" i="17769"/>
  <c r="E24" i="17769"/>
  <c r="D24" i="17769"/>
  <c r="N23" i="17769"/>
  <c r="M23" i="17769"/>
  <c r="L23" i="17769"/>
  <c r="I23" i="17769"/>
  <c r="F23" i="17769"/>
  <c r="N22" i="17769"/>
  <c r="M22" i="17769"/>
  <c r="L22" i="17769"/>
  <c r="I22" i="17769"/>
  <c r="F22" i="17769"/>
  <c r="K21" i="17769"/>
  <c r="J21" i="17769"/>
  <c r="M21" i="17769" s="1"/>
  <c r="H21" i="17769"/>
  <c r="G21" i="17769"/>
  <c r="E21" i="17769"/>
  <c r="D21" i="17769"/>
  <c r="F21" i="17769" s="1"/>
  <c r="N20" i="17769"/>
  <c r="M20" i="17769"/>
  <c r="L20" i="17769"/>
  <c r="I20" i="17769"/>
  <c r="F20" i="17769"/>
  <c r="N19" i="17769"/>
  <c r="M19" i="17769"/>
  <c r="L19" i="17769"/>
  <c r="O19" i="17769" s="1"/>
  <c r="I19" i="17769"/>
  <c r="F19" i="17769"/>
  <c r="N18" i="17769"/>
  <c r="M18" i="17769"/>
  <c r="L18" i="17769"/>
  <c r="I18" i="17769"/>
  <c r="F18" i="17769"/>
  <c r="N17" i="17769"/>
  <c r="M17" i="17769"/>
  <c r="L17" i="17769"/>
  <c r="I17" i="17769"/>
  <c r="F17" i="17769"/>
  <c r="N16" i="17769"/>
  <c r="M16" i="17769"/>
  <c r="L16" i="17769"/>
  <c r="I16" i="17769"/>
  <c r="F16" i="17769"/>
  <c r="L14" i="17769"/>
  <c r="I14" i="17769"/>
  <c r="F14" i="17769"/>
  <c r="I31" i="17770" l="1"/>
  <c r="I34" i="17770"/>
  <c r="O28" i="17769"/>
  <c r="K25" i="17769"/>
  <c r="N25" i="17769" s="1"/>
  <c r="O23" i="17769"/>
  <c r="O17" i="17769"/>
  <c r="E25" i="17769"/>
  <c r="H25" i="17769"/>
  <c r="I52" i="17769"/>
  <c r="F57" i="17769"/>
  <c r="E61" i="17769"/>
  <c r="O76" i="17769"/>
  <c r="L77" i="17769"/>
  <c r="O77" i="17769" s="1"/>
  <c r="K61" i="17769"/>
  <c r="O16" i="17769"/>
  <c r="O20" i="17769"/>
  <c r="O22" i="17769"/>
  <c r="F24" i="17769"/>
  <c r="M29" i="17769"/>
  <c r="E53" i="17769"/>
  <c r="E62" i="17769" s="1"/>
  <c r="L49" i="17769"/>
  <c r="D53" i="17769"/>
  <c r="I57" i="17769"/>
  <c r="I60" i="17769"/>
  <c r="I77" i="17769"/>
  <c r="G33" i="17769"/>
  <c r="L21" i="17769"/>
  <c r="G53" i="17769"/>
  <c r="I53" i="17769" s="1"/>
  <c r="N77" i="17769"/>
  <c r="M32" i="17769"/>
  <c r="O18" i="17769"/>
  <c r="I21" i="17769"/>
  <c r="G25" i="17769"/>
  <c r="L24" i="17769"/>
  <c r="O24" i="17769" s="1"/>
  <c r="F29" i="17769"/>
  <c r="L29" i="17769"/>
  <c r="O29" i="17769" s="1"/>
  <c r="O31" i="17769"/>
  <c r="E33" i="17769"/>
  <c r="E34" i="17769" s="1"/>
  <c r="K33" i="17769"/>
  <c r="K34" i="17769" s="1"/>
  <c r="F52" i="17769"/>
  <c r="L57" i="17769"/>
  <c r="F60" i="17769"/>
  <c r="O75" i="17769"/>
  <c r="F77" i="17769"/>
  <c r="M77" i="17769"/>
  <c r="F61" i="17769"/>
  <c r="D62" i="17769"/>
  <c r="H62" i="17769"/>
  <c r="I33" i="17769"/>
  <c r="K62" i="17769"/>
  <c r="D25" i="17769"/>
  <c r="H33" i="17769"/>
  <c r="N21" i="17769"/>
  <c r="N24" i="17769"/>
  <c r="J25" i="17769"/>
  <c r="J33" i="17769"/>
  <c r="D33" i="17769"/>
  <c r="J61" i="17769"/>
  <c r="I24" i="17769"/>
  <c r="I32" i="17769"/>
  <c r="O32" i="17769" s="1"/>
  <c r="F49" i="17769"/>
  <c r="J53" i="17769"/>
  <c r="L53" i="17769" s="1"/>
  <c r="L60" i="17769"/>
  <c r="G61" i="17769"/>
  <c r="L92" i="17768"/>
  <c r="M92" i="17768" s="1"/>
  <c r="K92" i="17768"/>
  <c r="I92" i="17768"/>
  <c r="H92" i="17768"/>
  <c r="J92" i="17768" s="1"/>
  <c r="F92" i="17768"/>
  <c r="E92" i="17768"/>
  <c r="G92" i="17768" s="1"/>
  <c r="M91" i="17768"/>
  <c r="J91" i="17768"/>
  <c r="G91" i="17768"/>
  <c r="M90" i="17768"/>
  <c r="J90" i="17768"/>
  <c r="G90" i="17768"/>
  <c r="M89" i="17768"/>
  <c r="J89" i="17768"/>
  <c r="G89" i="17768"/>
  <c r="M88" i="17768"/>
  <c r="J88" i="17768"/>
  <c r="G88" i="17768"/>
  <c r="P65" i="17768"/>
  <c r="M65" i="17768"/>
  <c r="J65" i="17768"/>
  <c r="G65" i="17768"/>
  <c r="P64" i="17768"/>
  <c r="M64" i="17768"/>
  <c r="J64" i="17768"/>
  <c r="G64" i="17768"/>
  <c r="P63" i="17768"/>
  <c r="O63" i="17768"/>
  <c r="N63" i="17768"/>
  <c r="L63" i="17768"/>
  <c r="M63" i="17768" s="1"/>
  <c r="K63" i="17768"/>
  <c r="I63" i="17768"/>
  <c r="H63" i="17768"/>
  <c r="J63" i="17768" s="1"/>
  <c r="F63" i="17768"/>
  <c r="E63" i="17768"/>
  <c r="G63" i="17768" s="1"/>
  <c r="P62" i="17768"/>
  <c r="M62" i="17768"/>
  <c r="J62" i="17768"/>
  <c r="G62" i="17768"/>
  <c r="P61" i="17768"/>
  <c r="M61" i="17768"/>
  <c r="J61" i="17768"/>
  <c r="G61" i="17768"/>
  <c r="P60" i="17768"/>
  <c r="O60" i="17768"/>
  <c r="N60" i="17768"/>
  <c r="L60" i="17768"/>
  <c r="M60" i="17768" s="1"/>
  <c r="K60" i="17768"/>
  <c r="I60" i="17768"/>
  <c r="H60" i="17768"/>
  <c r="J60" i="17768" s="1"/>
  <c r="F60" i="17768"/>
  <c r="E60" i="17768"/>
  <c r="G60" i="17768" s="1"/>
  <c r="P59" i="17768"/>
  <c r="O59" i="17768"/>
  <c r="O79" i="17768" s="1"/>
  <c r="N59" i="17768"/>
  <c r="N79" i="17768" s="1"/>
  <c r="L59" i="17768"/>
  <c r="M59" i="17768" s="1"/>
  <c r="K59" i="17768"/>
  <c r="K79" i="17768" s="1"/>
  <c r="I59" i="17768"/>
  <c r="I79" i="17768" s="1"/>
  <c r="H59" i="17768"/>
  <c r="H79" i="17768" s="1"/>
  <c r="F59" i="17768"/>
  <c r="F79" i="17768" s="1"/>
  <c r="E59" i="17768"/>
  <c r="E79" i="17768" s="1"/>
  <c r="G79" i="17768" s="1"/>
  <c r="P58" i="17768"/>
  <c r="O58" i="17768"/>
  <c r="N58" i="17768"/>
  <c r="N57" i="17768" s="1"/>
  <c r="P57" i="17768" s="1"/>
  <c r="L58" i="17768"/>
  <c r="M58" i="17768" s="1"/>
  <c r="K58" i="17768"/>
  <c r="I58" i="17768"/>
  <c r="H58" i="17768"/>
  <c r="J58" i="17768" s="1"/>
  <c r="F58" i="17768"/>
  <c r="E58" i="17768"/>
  <c r="G58" i="17768" s="1"/>
  <c r="O57" i="17768"/>
  <c r="L57" i="17768"/>
  <c r="M57" i="17768" s="1"/>
  <c r="K57" i="17768"/>
  <c r="I57" i="17768"/>
  <c r="H57" i="17768"/>
  <c r="J57" i="17768" s="1"/>
  <c r="F57" i="17768"/>
  <c r="E57" i="17768"/>
  <c r="G57" i="17768" s="1"/>
  <c r="L42" i="17768"/>
  <c r="M42" i="17768" s="1"/>
  <c r="K42" i="17768"/>
  <c r="I42" i="17768"/>
  <c r="E42" i="17768"/>
  <c r="P41" i="17768"/>
  <c r="M41" i="17768"/>
  <c r="J41" i="17768"/>
  <c r="G41" i="17768"/>
  <c r="P40" i="17768"/>
  <c r="M40" i="17768"/>
  <c r="J40" i="17768"/>
  <c r="G40" i="17768"/>
  <c r="P39" i="17768"/>
  <c r="M39" i="17768"/>
  <c r="J39" i="17768"/>
  <c r="G39" i="17768"/>
  <c r="P38" i="17768"/>
  <c r="M38" i="17768"/>
  <c r="J38" i="17768"/>
  <c r="G38" i="17768"/>
  <c r="P37" i="17768"/>
  <c r="M37" i="17768"/>
  <c r="J37" i="17768"/>
  <c r="G37" i="17768"/>
  <c r="P36" i="17768"/>
  <c r="M36" i="17768"/>
  <c r="J36" i="17768"/>
  <c r="G36" i="17768"/>
  <c r="P35" i="17768"/>
  <c r="O35" i="17768"/>
  <c r="O42" i="17768" s="1"/>
  <c r="N35" i="17768"/>
  <c r="N42" i="17768" s="1"/>
  <c r="P42" i="17768" s="1"/>
  <c r="M35" i="17768"/>
  <c r="J35" i="17768"/>
  <c r="I35" i="17768"/>
  <c r="H35" i="17768"/>
  <c r="H42" i="17768" s="1"/>
  <c r="J42" i="17768" s="1"/>
  <c r="F35" i="17768"/>
  <c r="G35" i="17768" s="1"/>
  <c r="E35" i="17768"/>
  <c r="P34" i="17768"/>
  <c r="M34" i="17768"/>
  <c r="O21" i="17768"/>
  <c r="O78" i="17768" s="1"/>
  <c r="L21" i="17768"/>
  <c r="M21" i="17768" s="1"/>
  <c r="K21" i="17768"/>
  <c r="K78" i="17768" s="1"/>
  <c r="I21" i="17768"/>
  <c r="I78" i="17768" s="1"/>
  <c r="H21" i="17768"/>
  <c r="H78" i="17768" s="1"/>
  <c r="P20" i="17768"/>
  <c r="M20" i="17768"/>
  <c r="J20" i="17768"/>
  <c r="G20" i="17768"/>
  <c r="P19" i="17768"/>
  <c r="N19" i="17768"/>
  <c r="M19" i="17768"/>
  <c r="J19" i="17768"/>
  <c r="G19" i="17768"/>
  <c r="P18" i="17768"/>
  <c r="M18" i="17768"/>
  <c r="J18" i="17768"/>
  <c r="G18" i="17768"/>
  <c r="P17" i="17768"/>
  <c r="M17" i="17768"/>
  <c r="J17" i="17768"/>
  <c r="G17" i="17768"/>
  <c r="E17" i="17768"/>
  <c r="P16" i="17768"/>
  <c r="M16" i="17768"/>
  <c r="J16" i="17768"/>
  <c r="G16" i="17768"/>
  <c r="P15" i="17768"/>
  <c r="M15" i="17768"/>
  <c r="J15" i="17768"/>
  <c r="G15" i="17768"/>
  <c r="P14" i="17768"/>
  <c r="N14" i="17768"/>
  <c r="N21" i="17768" s="1"/>
  <c r="M14" i="17768"/>
  <c r="J14" i="17768"/>
  <c r="F14" i="17768"/>
  <c r="F21" i="17768" s="1"/>
  <c r="E14" i="17768"/>
  <c r="E21" i="17768" s="1"/>
  <c r="P13" i="17768"/>
  <c r="M13" i="17768"/>
  <c r="H34" i="17769" l="1"/>
  <c r="N34" i="17769" s="1"/>
  <c r="F53" i="17769"/>
  <c r="O21" i="17769"/>
  <c r="F25" i="17769"/>
  <c r="I25" i="17769"/>
  <c r="G34" i="17769"/>
  <c r="I34" i="17769" s="1"/>
  <c r="L61" i="17769"/>
  <c r="J62" i="17769"/>
  <c r="L62" i="17769" s="1"/>
  <c r="D34" i="17769"/>
  <c r="F34" i="17769" s="1"/>
  <c r="F33" i="17769"/>
  <c r="G62" i="17769"/>
  <c r="I62" i="17769" s="1"/>
  <c r="I61" i="17769"/>
  <c r="L33" i="17769"/>
  <c r="O33" i="17769" s="1"/>
  <c r="M33" i="17769"/>
  <c r="J34" i="17769"/>
  <c r="N33" i="17769"/>
  <c r="F62" i="17769"/>
  <c r="M25" i="17769"/>
  <c r="L25" i="17769"/>
  <c r="E78" i="17768"/>
  <c r="G21" i="17768"/>
  <c r="P21" i="17768"/>
  <c r="N78" i="17768"/>
  <c r="O77" i="17768"/>
  <c r="G42" i="17768"/>
  <c r="F78" i="17768"/>
  <c r="F77" i="17768" s="1"/>
  <c r="I77" i="17768"/>
  <c r="M78" i="17768"/>
  <c r="K77" i="17768"/>
  <c r="J79" i="17768"/>
  <c r="P79" i="17768"/>
  <c r="H77" i="17768"/>
  <c r="J77" i="17768" s="1"/>
  <c r="J78" i="17768"/>
  <c r="J59" i="17768"/>
  <c r="G14" i="17768"/>
  <c r="J21" i="17768"/>
  <c r="F42" i="17768"/>
  <c r="G59" i="17768"/>
  <c r="L78" i="17768"/>
  <c r="L79" i="17768"/>
  <c r="M79" i="17768" s="1"/>
  <c r="O25" i="17769" l="1"/>
  <c r="M34" i="17769"/>
  <c r="L34" i="17769"/>
  <c r="O34" i="17769" s="1"/>
  <c r="L77" i="17768"/>
  <c r="E77" i="17768"/>
  <c r="G77" i="17768" s="1"/>
  <c r="G78" i="17768"/>
  <c r="P78" i="17768"/>
  <c r="N77" i="17768"/>
  <c r="P77" i="17768" s="1"/>
  <c r="M77" i="17768"/>
  <c r="H11" i="32" l="1"/>
  <c r="G11" i="32"/>
  <c r="F11" i="32"/>
  <c r="F23" i="32"/>
  <c r="F25" i="32"/>
  <c r="K290" i="17767" l="1"/>
  <c r="J290" i="17767"/>
  <c r="I289" i="17767"/>
  <c r="H289" i="17767"/>
  <c r="J289" i="17767" s="1"/>
  <c r="G289" i="17767"/>
  <c r="F289" i="17767"/>
  <c r="K289" i="17767" s="1"/>
  <c r="K288" i="17767"/>
  <c r="J288" i="17767"/>
  <c r="I287" i="17767"/>
  <c r="H287" i="17767"/>
  <c r="J287" i="17767" s="1"/>
  <c r="G287" i="17767"/>
  <c r="F287" i="17767"/>
  <c r="K287" i="17767" s="1"/>
  <c r="I286" i="17767"/>
  <c r="H286" i="17767"/>
  <c r="J286" i="17767" s="1"/>
  <c r="G286" i="17767"/>
  <c r="F286" i="17767"/>
  <c r="K286" i="17767" s="1"/>
  <c r="I285" i="17767"/>
  <c r="H285" i="17767"/>
  <c r="J285" i="17767" s="1"/>
  <c r="G285" i="17767"/>
  <c r="F285" i="17767"/>
  <c r="K285" i="17767" s="1"/>
  <c r="I284" i="17767"/>
  <c r="H284" i="17767"/>
  <c r="J284" i="17767" s="1"/>
  <c r="G284" i="17767"/>
  <c r="F284" i="17767"/>
  <c r="K284" i="17767" s="1"/>
  <c r="I283" i="17767"/>
  <c r="H283" i="17767"/>
  <c r="J283" i="17767" s="1"/>
  <c r="G283" i="17767"/>
  <c r="F283" i="17767"/>
  <c r="K283" i="17767" s="1"/>
  <c r="I282" i="17767"/>
  <c r="H282" i="17767"/>
  <c r="J282" i="17767" s="1"/>
  <c r="G282" i="17767"/>
  <c r="F282" i="17767"/>
  <c r="K282" i="17767" s="1"/>
  <c r="I281" i="17767"/>
  <c r="H281" i="17767"/>
  <c r="J281" i="17767" s="1"/>
  <c r="G281" i="17767"/>
  <c r="F281" i="17767"/>
  <c r="K281" i="17767" s="1"/>
  <c r="I280" i="17767"/>
  <c r="H280" i="17767"/>
  <c r="J280" i="17767" s="1"/>
  <c r="G280" i="17767"/>
  <c r="F280" i="17767"/>
  <c r="K280" i="17767" s="1"/>
  <c r="I279" i="17767"/>
  <c r="H279" i="17767"/>
  <c r="J279" i="17767" s="1"/>
  <c r="G279" i="17767"/>
  <c r="F279" i="17767"/>
  <c r="K279" i="17767" s="1"/>
  <c r="I278" i="17767"/>
  <c r="H278" i="17767"/>
  <c r="J278" i="17767" s="1"/>
  <c r="G278" i="17767"/>
  <c r="F278" i="17767"/>
  <c r="K278" i="17767" s="1"/>
  <c r="I277" i="17767"/>
  <c r="H277" i="17767"/>
  <c r="J277" i="17767" s="1"/>
  <c r="G277" i="17767"/>
  <c r="F277" i="17767"/>
  <c r="K277" i="17767" s="1"/>
  <c r="I276" i="17767"/>
  <c r="H276" i="17767"/>
  <c r="J276" i="17767" s="1"/>
  <c r="G276" i="17767"/>
  <c r="F276" i="17767"/>
  <c r="K276" i="17767" s="1"/>
  <c r="I275" i="17767"/>
  <c r="H275" i="17767"/>
  <c r="J275" i="17767" s="1"/>
  <c r="G275" i="17767"/>
  <c r="F275" i="17767"/>
  <c r="K275" i="17767" s="1"/>
  <c r="I274" i="17767"/>
  <c r="H274" i="17767"/>
  <c r="J274" i="17767" s="1"/>
  <c r="G274" i="17767"/>
  <c r="F274" i="17767"/>
  <c r="K274" i="17767" s="1"/>
  <c r="I273" i="17767"/>
  <c r="H273" i="17767"/>
  <c r="J273" i="17767" s="1"/>
  <c r="G273" i="17767"/>
  <c r="F273" i="17767"/>
  <c r="K273" i="17767" s="1"/>
  <c r="I272" i="17767"/>
  <c r="H272" i="17767"/>
  <c r="J272" i="17767" s="1"/>
  <c r="G272" i="17767"/>
  <c r="F272" i="17767"/>
  <c r="K272" i="17767" s="1"/>
  <c r="I271" i="17767"/>
  <c r="H271" i="17767"/>
  <c r="J271" i="17767" s="1"/>
  <c r="G271" i="17767"/>
  <c r="F271" i="17767"/>
  <c r="K271" i="17767" s="1"/>
  <c r="I270" i="17767"/>
  <c r="H270" i="17767"/>
  <c r="J270" i="17767" s="1"/>
  <c r="G270" i="17767"/>
  <c r="F270" i="17767"/>
  <c r="K270" i="17767" s="1"/>
  <c r="I269" i="17767"/>
  <c r="H269" i="17767"/>
  <c r="J269" i="17767" s="1"/>
  <c r="G269" i="17767"/>
  <c r="F269" i="17767"/>
  <c r="K269" i="17767" s="1"/>
  <c r="I268" i="17767"/>
  <c r="H268" i="17767"/>
  <c r="J268" i="17767" s="1"/>
  <c r="G268" i="17767"/>
  <c r="F268" i="17767"/>
  <c r="K268" i="17767" s="1"/>
  <c r="I267" i="17767"/>
  <c r="H267" i="17767"/>
  <c r="J267" i="17767" s="1"/>
  <c r="G267" i="17767"/>
  <c r="F267" i="17767"/>
  <c r="K267" i="17767" s="1"/>
  <c r="I266" i="17767"/>
  <c r="H266" i="17767"/>
  <c r="J266" i="17767" s="1"/>
  <c r="G266" i="17767"/>
  <c r="F266" i="17767"/>
  <c r="K266" i="17767" s="1"/>
  <c r="I265" i="17767"/>
  <c r="H265" i="17767"/>
  <c r="J265" i="17767" s="1"/>
  <c r="G265" i="17767"/>
  <c r="F265" i="17767"/>
  <c r="K265" i="17767" s="1"/>
  <c r="I264" i="17767"/>
  <c r="H264" i="17767"/>
  <c r="J264" i="17767" s="1"/>
  <c r="G264" i="17767"/>
  <c r="F264" i="17767"/>
  <c r="K264" i="17767" s="1"/>
  <c r="I263" i="17767"/>
  <c r="H263" i="17767"/>
  <c r="J263" i="17767" s="1"/>
  <c r="G263" i="17767"/>
  <c r="F263" i="17767"/>
  <c r="K263" i="17767" s="1"/>
  <c r="I262" i="17767"/>
  <c r="H262" i="17767"/>
  <c r="J262" i="17767" s="1"/>
  <c r="G262" i="17767"/>
  <c r="F262" i="17767"/>
  <c r="K262" i="17767" s="1"/>
  <c r="I261" i="17767"/>
  <c r="H261" i="17767"/>
  <c r="J261" i="17767" s="1"/>
  <c r="G261" i="17767"/>
  <c r="F261" i="17767"/>
  <c r="K261" i="17767" s="1"/>
  <c r="I260" i="17767"/>
  <c r="H260" i="17767"/>
  <c r="J260" i="17767" s="1"/>
  <c r="G260" i="17767"/>
  <c r="F260" i="17767"/>
  <c r="K260" i="17767" s="1"/>
  <c r="I259" i="17767"/>
  <c r="H259" i="17767"/>
  <c r="J259" i="17767" s="1"/>
  <c r="G259" i="17767"/>
  <c r="F259" i="17767"/>
  <c r="K259" i="17767" s="1"/>
  <c r="I258" i="17767"/>
  <c r="H258" i="17767"/>
  <c r="J258" i="17767" s="1"/>
  <c r="G258" i="17767"/>
  <c r="F258" i="17767"/>
  <c r="K258" i="17767" s="1"/>
  <c r="I257" i="17767"/>
  <c r="H257" i="17767"/>
  <c r="J257" i="17767" s="1"/>
  <c r="G257" i="17767"/>
  <c r="F257" i="17767"/>
  <c r="K257" i="17767" s="1"/>
  <c r="I256" i="17767"/>
  <c r="H256" i="17767"/>
  <c r="J256" i="17767" s="1"/>
  <c r="G256" i="17767"/>
  <c r="F256" i="17767"/>
  <c r="K256" i="17767" s="1"/>
  <c r="I255" i="17767"/>
  <c r="H255" i="17767"/>
  <c r="J255" i="17767" s="1"/>
  <c r="G255" i="17767"/>
  <c r="F255" i="17767"/>
  <c r="K255" i="17767" s="1"/>
  <c r="I254" i="17767"/>
  <c r="H254" i="17767"/>
  <c r="J254" i="17767" s="1"/>
  <c r="G254" i="17767"/>
  <c r="F254" i="17767"/>
  <c r="K254" i="17767" s="1"/>
  <c r="I253" i="17767"/>
  <c r="H253" i="17767"/>
  <c r="J253" i="17767" s="1"/>
  <c r="G253" i="17767"/>
  <c r="F253" i="17767"/>
  <c r="K253" i="17767" s="1"/>
  <c r="I252" i="17767"/>
  <c r="H252" i="17767"/>
  <c r="J252" i="17767" s="1"/>
  <c r="G252" i="17767"/>
  <c r="F252" i="17767"/>
  <c r="K252" i="17767" s="1"/>
  <c r="I251" i="17767"/>
  <c r="H251" i="17767"/>
  <c r="J251" i="17767" s="1"/>
  <c r="G251" i="17767"/>
  <c r="F251" i="17767"/>
  <c r="K251" i="17767" s="1"/>
  <c r="I250" i="17767"/>
  <c r="H250" i="17767"/>
  <c r="J250" i="17767" s="1"/>
  <c r="G250" i="17767"/>
  <c r="F250" i="17767"/>
  <c r="K250" i="17767" s="1"/>
  <c r="I249" i="17767"/>
  <c r="H249" i="17767"/>
  <c r="J249" i="17767" s="1"/>
  <c r="G249" i="17767"/>
  <c r="F249" i="17767"/>
  <c r="K249" i="17767" s="1"/>
  <c r="I248" i="17767"/>
  <c r="H248" i="17767"/>
  <c r="J248" i="17767" s="1"/>
  <c r="G248" i="17767"/>
  <c r="F248" i="17767"/>
  <c r="K248" i="17767" s="1"/>
  <c r="I247" i="17767"/>
  <c r="H247" i="17767"/>
  <c r="J247" i="17767" s="1"/>
  <c r="G247" i="17767"/>
  <c r="F247" i="17767"/>
  <c r="K247" i="17767" s="1"/>
  <c r="I246" i="17767"/>
  <c r="H246" i="17767"/>
  <c r="J246" i="17767" s="1"/>
  <c r="G246" i="17767"/>
  <c r="F246" i="17767"/>
  <c r="K246" i="17767" s="1"/>
  <c r="I245" i="17767"/>
  <c r="H245" i="17767"/>
  <c r="J245" i="17767" s="1"/>
  <c r="G245" i="17767"/>
  <c r="F245" i="17767"/>
  <c r="K245" i="17767" s="1"/>
  <c r="I244" i="17767"/>
  <c r="H244" i="17767"/>
  <c r="J244" i="17767" s="1"/>
  <c r="G244" i="17767"/>
  <c r="F244" i="17767"/>
  <c r="K244" i="17767" s="1"/>
  <c r="I243" i="17767"/>
  <c r="H243" i="17767"/>
  <c r="J243" i="17767" s="1"/>
  <c r="G243" i="17767"/>
  <c r="F243" i="17767"/>
  <c r="K243" i="17767" s="1"/>
  <c r="I242" i="17767"/>
  <c r="H242" i="17767"/>
  <c r="J242" i="17767" s="1"/>
  <c r="G242" i="17767"/>
  <c r="F242" i="17767"/>
  <c r="K242" i="17767" s="1"/>
  <c r="I241" i="17767"/>
  <c r="H241" i="17767"/>
  <c r="J241" i="17767" s="1"/>
  <c r="G241" i="17767"/>
  <c r="F241" i="17767"/>
  <c r="K241" i="17767" s="1"/>
  <c r="I240" i="17767"/>
  <c r="H240" i="17767"/>
  <c r="J240" i="17767" s="1"/>
  <c r="G240" i="17767"/>
  <c r="F240" i="17767"/>
  <c r="K240" i="17767" s="1"/>
  <c r="I239" i="17767"/>
  <c r="H239" i="17767"/>
  <c r="J239" i="17767" s="1"/>
  <c r="G239" i="17767"/>
  <c r="F239" i="17767"/>
  <c r="K239" i="17767" s="1"/>
  <c r="I238" i="17767"/>
  <c r="H238" i="17767"/>
  <c r="J238" i="17767" s="1"/>
  <c r="G238" i="17767"/>
  <c r="F238" i="17767"/>
  <c r="K238" i="17767" s="1"/>
  <c r="I237" i="17767"/>
  <c r="H237" i="17767"/>
  <c r="J237" i="17767" s="1"/>
  <c r="G237" i="17767"/>
  <c r="F237" i="17767"/>
  <c r="K237" i="17767" s="1"/>
  <c r="I236" i="17767"/>
  <c r="H236" i="17767"/>
  <c r="J236" i="17767" s="1"/>
  <c r="G236" i="17767"/>
  <c r="F236" i="17767"/>
  <c r="K236" i="17767" s="1"/>
  <c r="I235" i="17767"/>
  <c r="H235" i="17767"/>
  <c r="J235" i="17767" s="1"/>
  <c r="G235" i="17767"/>
  <c r="F235" i="17767"/>
  <c r="K235" i="17767" s="1"/>
  <c r="I234" i="17767"/>
  <c r="H234" i="17767"/>
  <c r="J234" i="17767" s="1"/>
  <c r="G234" i="17767"/>
  <c r="F234" i="17767"/>
  <c r="K234" i="17767" s="1"/>
  <c r="I233" i="17767"/>
  <c r="H233" i="17767"/>
  <c r="J233" i="17767" s="1"/>
  <c r="G233" i="17767"/>
  <c r="F233" i="17767"/>
  <c r="K233" i="17767" s="1"/>
  <c r="I232" i="17767"/>
  <c r="H232" i="17767"/>
  <c r="J232" i="17767" s="1"/>
  <c r="G232" i="17767"/>
  <c r="F232" i="17767"/>
  <c r="K232" i="17767" s="1"/>
  <c r="J231" i="17767"/>
  <c r="I231" i="17767"/>
  <c r="H231" i="17767"/>
  <c r="G231" i="17767"/>
  <c r="F231" i="17767"/>
  <c r="K230" i="17767"/>
  <c r="J230" i="17767"/>
  <c r="I230" i="17767"/>
  <c r="H230" i="17767"/>
  <c r="G230" i="17767"/>
  <c r="F230" i="17767"/>
  <c r="I229" i="17767"/>
  <c r="H229" i="17767"/>
  <c r="G229" i="17767"/>
  <c r="F229" i="17767"/>
  <c r="J228" i="17767"/>
  <c r="I228" i="17767"/>
  <c r="H228" i="17767"/>
  <c r="G228" i="17767"/>
  <c r="F228" i="17767"/>
  <c r="I227" i="17767"/>
  <c r="H227" i="17767"/>
  <c r="G227" i="17767"/>
  <c r="F227" i="17767"/>
  <c r="I226" i="17767"/>
  <c r="H226" i="17767"/>
  <c r="G226" i="17767"/>
  <c r="F226" i="17767"/>
  <c r="I225" i="17767"/>
  <c r="H225" i="17767"/>
  <c r="G225" i="17767"/>
  <c r="F225" i="17767"/>
  <c r="I224" i="17767"/>
  <c r="H224" i="17767"/>
  <c r="G224" i="17767"/>
  <c r="F224" i="17767"/>
  <c r="K224" i="17767" s="1"/>
  <c r="I223" i="17767"/>
  <c r="H223" i="17767"/>
  <c r="G223" i="17767"/>
  <c r="F223" i="17767"/>
  <c r="K223" i="17767" s="1"/>
  <c r="I222" i="17767"/>
  <c r="H222" i="17767"/>
  <c r="J222" i="17767" s="1"/>
  <c r="G222" i="17767"/>
  <c r="F222" i="17767"/>
  <c r="K222" i="17767" s="1"/>
  <c r="I221" i="17767"/>
  <c r="H221" i="17767"/>
  <c r="J221" i="17767" s="1"/>
  <c r="G221" i="17767"/>
  <c r="F221" i="17767"/>
  <c r="K221" i="17767" s="1"/>
  <c r="I220" i="17767"/>
  <c r="H220" i="17767"/>
  <c r="J220" i="17767" s="1"/>
  <c r="G220" i="17767"/>
  <c r="F220" i="17767"/>
  <c r="K220" i="17767" s="1"/>
  <c r="I219" i="17767"/>
  <c r="H219" i="17767"/>
  <c r="J219" i="17767" s="1"/>
  <c r="G219" i="17767"/>
  <c r="F219" i="17767"/>
  <c r="K219" i="17767" s="1"/>
  <c r="I218" i="17767"/>
  <c r="H218" i="17767"/>
  <c r="J218" i="17767" s="1"/>
  <c r="G218" i="17767"/>
  <c r="F218" i="17767"/>
  <c r="K218" i="17767" s="1"/>
  <c r="I217" i="17767"/>
  <c r="H217" i="17767"/>
  <c r="J217" i="17767" s="1"/>
  <c r="G217" i="17767"/>
  <c r="F217" i="17767"/>
  <c r="K217" i="17767" s="1"/>
  <c r="I216" i="17767"/>
  <c r="H216" i="17767"/>
  <c r="J216" i="17767" s="1"/>
  <c r="G216" i="17767"/>
  <c r="F216" i="17767"/>
  <c r="K216" i="17767" s="1"/>
  <c r="I215" i="17767"/>
  <c r="H215" i="17767"/>
  <c r="J215" i="17767" s="1"/>
  <c r="G215" i="17767"/>
  <c r="F215" i="17767"/>
  <c r="K215" i="17767" s="1"/>
  <c r="I214" i="17767"/>
  <c r="H214" i="17767"/>
  <c r="J214" i="17767" s="1"/>
  <c r="G214" i="17767"/>
  <c r="F214" i="17767"/>
  <c r="K214" i="17767" s="1"/>
  <c r="I213" i="17767"/>
  <c r="H213" i="17767"/>
  <c r="J213" i="17767" s="1"/>
  <c r="G213" i="17767"/>
  <c r="F213" i="17767"/>
  <c r="K213" i="17767" s="1"/>
  <c r="I212" i="17767"/>
  <c r="H212" i="17767"/>
  <c r="J212" i="17767" s="1"/>
  <c r="G212" i="17767"/>
  <c r="F212" i="17767"/>
  <c r="K212" i="17767" s="1"/>
  <c r="I211" i="17767"/>
  <c r="H211" i="17767"/>
  <c r="J211" i="17767" s="1"/>
  <c r="G211" i="17767"/>
  <c r="F211" i="17767"/>
  <c r="K211" i="17767" s="1"/>
  <c r="I210" i="17767"/>
  <c r="H210" i="17767"/>
  <c r="J210" i="17767" s="1"/>
  <c r="G210" i="17767"/>
  <c r="F210" i="17767"/>
  <c r="K210" i="17767" s="1"/>
  <c r="I209" i="17767"/>
  <c r="H209" i="17767"/>
  <c r="J209" i="17767" s="1"/>
  <c r="G209" i="17767"/>
  <c r="F209" i="17767"/>
  <c r="K209" i="17767" s="1"/>
  <c r="I208" i="17767"/>
  <c r="H208" i="17767"/>
  <c r="J208" i="17767" s="1"/>
  <c r="G208" i="17767"/>
  <c r="F208" i="17767"/>
  <c r="K208" i="17767" s="1"/>
  <c r="I207" i="17767"/>
  <c r="H207" i="17767"/>
  <c r="J207" i="17767" s="1"/>
  <c r="G207" i="17767"/>
  <c r="F207" i="17767"/>
  <c r="K207" i="17767" s="1"/>
  <c r="I206" i="17767"/>
  <c r="H206" i="17767"/>
  <c r="G206" i="17767"/>
  <c r="F206" i="17767"/>
  <c r="I205" i="17767"/>
  <c r="H205" i="17767"/>
  <c r="J205" i="17767" s="1"/>
  <c r="G205" i="17767"/>
  <c r="F205" i="17767"/>
  <c r="K205" i="17767" s="1"/>
  <c r="I204" i="17767"/>
  <c r="H204" i="17767"/>
  <c r="J204" i="17767" s="1"/>
  <c r="G204" i="17767"/>
  <c r="F204" i="17767"/>
  <c r="K204" i="17767" s="1"/>
  <c r="I203" i="17767"/>
  <c r="H203" i="17767"/>
  <c r="J203" i="17767" s="1"/>
  <c r="G203" i="17767"/>
  <c r="F203" i="17767"/>
  <c r="K203" i="17767" s="1"/>
  <c r="I202" i="17767"/>
  <c r="H202" i="17767"/>
  <c r="G202" i="17767"/>
  <c r="F202" i="17767"/>
  <c r="K202" i="17767" s="1"/>
  <c r="I201" i="17767"/>
  <c r="H201" i="17767"/>
  <c r="J201" i="17767" s="1"/>
  <c r="G201" i="17767"/>
  <c r="F201" i="17767"/>
  <c r="K201" i="17767" s="1"/>
  <c r="I200" i="17767"/>
  <c r="H200" i="17767"/>
  <c r="J200" i="17767" s="1"/>
  <c r="G200" i="17767"/>
  <c r="F200" i="17767"/>
  <c r="K200" i="17767" s="1"/>
  <c r="I199" i="17767"/>
  <c r="H199" i="17767"/>
  <c r="J199" i="17767" s="1"/>
  <c r="G199" i="17767"/>
  <c r="F199" i="17767"/>
  <c r="K199" i="17767" s="1"/>
  <c r="I198" i="17767"/>
  <c r="H198" i="17767"/>
  <c r="J198" i="17767" s="1"/>
  <c r="G198" i="17767"/>
  <c r="F198" i="17767"/>
  <c r="K198" i="17767" s="1"/>
  <c r="I197" i="17767"/>
  <c r="H197" i="17767"/>
  <c r="J197" i="17767" s="1"/>
  <c r="G197" i="17767"/>
  <c r="F197" i="17767"/>
  <c r="I196" i="17767"/>
  <c r="H196" i="17767"/>
  <c r="G196" i="17767"/>
  <c r="F196" i="17767"/>
  <c r="I195" i="17767"/>
  <c r="H195" i="17767"/>
  <c r="G195" i="17767"/>
  <c r="F195" i="17767"/>
  <c r="I194" i="17767"/>
  <c r="H194" i="17767"/>
  <c r="J194" i="17767" s="1"/>
  <c r="G194" i="17767"/>
  <c r="F194" i="17767"/>
  <c r="K194" i="17767" s="1"/>
  <c r="I193" i="17767"/>
  <c r="H193" i="17767"/>
  <c r="J193" i="17767" s="1"/>
  <c r="G193" i="17767"/>
  <c r="F193" i="17767"/>
  <c r="K193" i="17767" s="1"/>
  <c r="I192" i="17767"/>
  <c r="H192" i="17767"/>
  <c r="J192" i="17767" s="1"/>
  <c r="G192" i="17767"/>
  <c r="F192" i="17767"/>
  <c r="K192" i="17767" s="1"/>
  <c r="I191" i="17767"/>
  <c r="H191" i="17767"/>
  <c r="J191" i="17767" s="1"/>
  <c r="G191" i="17767"/>
  <c r="F191" i="17767"/>
  <c r="K191" i="17767" s="1"/>
  <c r="I190" i="17767"/>
  <c r="H190" i="17767"/>
  <c r="J190" i="17767" s="1"/>
  <c r="G190" i="17767"/>
  <c r="F190" i="17767"/>
  <c r="K190" i="17767" s="1"/>
  <c r="I189" i="17767"/>
  <c r="H189" i="17767"/>
  <c r="J189" i="17767" s="1"/>
  <c r="G189" i="17767"/>
  <c r="F189" i="17767"/>
  <c r="K189" i="17767" s="1"/>
  <c r="I188" i="17767"/>
  <c r="H188" i="17767"/>
  <c r="G188" i="17767"/>
  <c r="F188" i="17767"/>
  <c r="I187" i="17767"/>
  <c r="H187" i="17767"/>
  <c r="G187" i="17767"/>
  <c r="F187" i="17767"/>
  <c r="I186" i="17767"/>
  <c r="H186" i="17767"/>
  <c r="G186" i="17767"/>
  <c r="F186" i="17767"/>
  <c r="I185" i="17767"/>
  <c r="H185" i="17767"/>
  <c r="G185" i="17767"/>
  <c r="F185" i="17767"/>
  <c r="I184" i="17767"/>
  <c r="H184" i="17767"/>
  <c r="G184" i="17767"/>
  <c r="F184" i="17767"/>
  <c r="I183" i="17767"/>
  <c r="H183" i="17767"/>
  <c r="G183" i="17767"/>
  <c r="F183" i="17767"/>
  <c r="I182" i="17767"/>
  <c r="H182" i="17767"/>
  <c r="G182" i="17767"/>
  <c r="F182" i="17767"/>
  <c r="I181" i="17767"/>
  <c r="H181" i="17767"/>
  <c r="J181" i="17767" s="1"/>
  <c r="G181" i="17767"/>
  <c r="F181" i="17767"/>
  <c r="K181" i="17767" s="1"/>
  <c r="I180" i="17767"/>
  <c r="H180" i="17767"/>
  <c r="J180" i="17767" s="1"/>
  <c r="G180" i="17767"/>
  <c r="F180" i="17767"/>
  <c r="K180" i="17767" s="1"/>
  <c r="I179" i="17767"/>
  <c r="H179" i="17767"/>
  <c r="J179" i="17767" s="1"/>
  <c r="G179" i="17767"/>
  <c r="F179" i="17767"/>
  <c r="K179" i="17767" s="1"/>
  <c r="I178" i="17767"/>
  <c r="H178" i="17767"/>
  <c r="J178" i="17767" s="1"/>
  <c r="G178" i="17767"/>
  <c r="F178" i="17767"/>
  <c r="K178" i="17767" s="1"/>
  <c r="I177" i="17767"/>
  <c r="H177" i="17767"/>
  <c r="J177" i="17767" s="1"/>
  <c r="G177" i="17767"/>
  <c r="F177" i="17767"/>
  <c r="K177" i="17767" s="1"/>
  <c r="I176" i="17767"/>
  <c r="H176" i="17767"/>
  <c r="J176" i="17767" s="1"/>
  <c r="G176" i="17767"/>
  <c r="F176" i="17767"/>
  <c r="K176" i="17767" s="1"/>
  <c r="I175" i="17767"/>
  <c r="H175" i="17767"/>
  <c r="J175" i="17767" s="1"/>
  <c r="G175" i="17767"/>
  <c r="F175" i="17767"/>
  <c r="K175" i="17767" s="1"/>
  <c r="I174" i="17767"/>
  <c r="H174" i="17767"/>
  <c r="J174" i="17767" s="1"/>
  <c r="G174" i="17767"/>
  <c r="F174" i="17767"/>
  <c r="K174" i="17767" s="1"/>
  <c r="I173" i="17767"/>
  <c r="H173" i="17767"/>
  <c r="J173" i="17767" s="1"/>
  <c r="G173" i="17767"/>
  <c r="F173" i="17767"/>
  <c r="K173" i="17767" s="1"/>
  <c r="I172" i="17767"/>
  <c r="H172" i="17767"/>
  <c r="J172" i="17767" s="1"/>
  <c r="G172" i="17767"/>
  <c r="F172" i="17767"/>
  <c r="K172" i="17767" s="1"/>
  <c r="I171" i="17767"/>
  <c r="H171" i="17767"/>
  <c r="J171" i="17767" s="1"/>
  <c r="G171" i="17767"/>
  <c r="F171" i="17767"/>
  <c r="K171" i="17767" s="1"/>
  <c r="I170" i="17767"/>
  <c r="H170" i="17767"/>
  <c r="J170" i="17767" s="1"/>
  <c r="G170" i="17767"/>
  <c r="F170" i="17767"/>
  <c r="K170" i="17767" s="1"/>
  <c r="I169" i="17767"/>
  <c r="H169" i="17767"/>
  <c r="J169" i="17767" s="1"/>
  <c r="G169" i="17767"/>
  <c r="F169" i="17767"/>
  <c r="K169" i="17767" s="1"/>
  <c r="I168" i="17767"/>
  <c r="H168" i="17767"/>
  <c r="J168" i="17767" s="1"/>
  <c r="G168" i="17767"/>
  <c r="F168" i="17767"/>
  <c r="K168" i="17767" s="1"/>
  <c r="I167" i="17767"/>
  <c r="H167" i="17767"/>
  <c r="J167" i="17767" s="1"/>
  <c r="G167" i="17767"/>
  <c r="F167" i="17767"/>
  <c r="K167" i="17767" s="1"/>
  <c r="I166" i="17767"/>
  <c r="H166" i="17767"/>
  <c r="J166" i="17767" s="1"/>
  <c r="G166" i="17767"/>
  <c r="F166" i="17767"/>
  <c r="K166" i="17767" s="1"/>
  <c r="I165" i="17767"/>
  <c r="H165" i="17767"/>
  <c r="J165" i="17767" s="1"/>
  <c r="G165" i="17767"/>
  <c r="F165" i="17767"/>
  <c r="K165" i="17767" s="1"/>
  <c r="I164" i="17767"/>
  <c r="H164" i="17767"/>
  <c r="G164" i="17767"/>
  <c r="F164" i="17767"/>
  <c r="I163" i="17767"/>
  <c r="H163" i="17767"/>
  <c r="G163" i="17767"/>
  <c r="F163" i="17767"/>
  <c r="K163" i="17767" s="1"/>
  <c r="I162" i="17767"/>
  <c r="H162" i="17767"/>
  <c r="J162" i="17767" s="1"/>
  <c r="G162" i="17767"/>
  <c r="F162" i="17767"/>
  <c r="K162" i="17767" s="1"/>
  <c r="I161" i="17767"/>
  <c r="H161" i="17767"/>
  <c r="J161" i="17767" s="1"/>
  <c r="G161" i="17767"/>
  <c r="F161" i="17767"/>
  <c r="K161" i="17767" s="1"/>
  <c r="I160" i="17767"/>
  <c r="H160" i="17767"/>
  <c r="J160" i="17767" s="1"/>
  <c r="G160" i="17767"/>
  <c r="F160" i="17767"/>
  <c r="K160" i="17767" s="1"/>
  <c r="I159" i="17767"/>
  <c r="H159" i="17767"/>
  <c r="G159" i="17767"/>
  <c r="F159" i="17767"/>
  <c r="I158" i="17767"/>
  <c r="H158" i="17767"/>
  <c r="G158" i="17767"/>
  <c r="F158" i="17767"/>
  <c r="I157" i="17767"/>
  <c r="H157" i="17767"/>
  <c r="G157" i="17767"/>
  <c r="F157" i="17767"/>
  <c r="I156" i="17767"/>
  <c r="H156" i="17767"/>
  <c r="G156" i="17767"/>
  <c r="F156" i="17767"/>
  <c r="I155" i="17767"/>
  <c r="H155" i="17767"/>
  <c r="G155" i="17767"/>
  <c r="F155" i="17767"/>
  <c r="I154" i="17767"/>
  <c r="H154" i="17767"/>
  <c r="G154" i="17767"/>
  <c r="F154" i="17767"/>
  <c r="I153" i="17767"/>
  <c r="H153" i="17767"/>
  <c r="G153" i="17767"/>
  <c r="F153" i="17767"/>
  <c r="I152" i="17767"/>
  <c r="H152" i="17767"/>
  <c r="J152" i="17767" s="1"/>
  <c r="G152" i="17767"/>
  <c r="F152" i="17767"/>
  <c r="K152" i="17767" s="1"/>
  <c r="I151" i="17767"/>
  <c r="H151" i="17767"/>
  <c r="G151" i="17767"/>
  <c r="F151" i="17767"/>
  <c r="I150" i="17767"/>
  <c r="H150" i="17767"/>
  <c r="G150" i="17767"/>
  <c r="F150" i="17767"/>
  <c r="I149" i="17767"/>
  <c r="H149" i="17767"/>
  <c r="G149" i="17767"/>
  <c r="F149" i="17767"/>
  <c r="I148" i="17767"/>
  <c r="H148" i="17767"/>
  <c r="J148" i="17767" s="1"/>
  <c r="G148" i="17767"/>
  <c r="F148" i="17767"/>
  <c r="K148" i="17767" s="1"/>
  <c r="I147" i="17767"/>
  <c r="H147" i="17767"/>
  <c r="J147" i="17767" s="1"/>
  <c r="G147" i="17767"/>
  <c r="F147" i="17767"/>
  <c r="K147" i="17767" s="1"/>
  <c r="I146" i="17767"/>
  <c r="H146" i="17767"/>
  <c r="J146" i="17767" s="1"/>
  <c r="G146" i="17767"/>
  <c r="F146" i="17767"/>
  <c r="K146" i="17767" s="1"/>
  <c r="I145" i="17767"/>
  <c r="H145" i="17767"/>
  <c r="J145" i="17767" s="1"/>
  <c r="G145" i="17767"/>
  <c r="F145" i="17767"/>
  <c r="I144" i="17767"/>
  <c r="H144" i="17767"/>
  <c r="J144" i="17767" s="1"/>
  <c r="G144" i="17767"/>
  <c r="F144" i="17767"/>
  <c r="K144" i="17767" s="1"/>
  <c r="I143" i="17767"/>
  <c r="H143" i="17767"/>
  <c r="G143" i="17767"/>
  <c r="F143" i="17767"/>
  <c r="I142" i="17767"/>
  <c r="H142" i="17767"/>
  <c r="G142" i="17767"/>
  <c r="F142" i="17767"/>
  <c r="I141" i="17767"/>
  <c r="H141" i="17767"/>
  <c r="J141" i="17767" s="1"/>
  <c r="G141" i="17767"/>
  <c r="F141" i="17767"/>
  <c r="K141" i="17767" s="1"/>
  <c r="I140" i="17767"/>
  <c r="H140" i="17767"/>
  <c r="J140" i="17767" s="1"/>
  <c r="G140" i="17767"/>
  <c r="F140" i="17767"/>
  <c r="K140" i="17767" s="1"/>
  <c r="I139" i="17767"/>
  <c r="H139" i="17767"/>
  <c r="J139" i="17767" s="1"/>
  <c r="G139" i="17767"/>
  <c r="F139" i="17767"/>
  <c r="I138" i="17767"/>
  <c r="H138" i="17767"/>
  <c r="J138" i="17767" s="1"/>
  <c r="G138" i="17767"/>
  <c r="F138" i="17767"/>
  <c r="I137" i="17767"/>
  <c r="H137" i="17767"/>
  <c r="G137" i="17767"/>
  <c r="F137" i="17767"/>
  <c r="I136" i="17767"/>
  <c r="H136" i="17767"/>
  <c r="J136" i="17767" s="1"/>
  <c r="G136" i="17767"/>
  <c r="F136" i="17767"/>
  <c r="K136" i="17767" s="1"/>
  <c r="I135" i="17767"/>
  <c r="H135" i="17767"/>
  <c r="J135" i="17767" s="1"/>
  <c r="G135" i="17767"/>
  <c r="F135" i="17767"/>
  <c r="I134" i="17767"/>
  <c r="H134" i="17767"/>
  <c r="J134" i="17767" s="1"/>
  <c r="G134" i="17767"/>
  <c r="F134" i="17767"/>
  <c r="K134" i="17767" s="1"/>
  <c r="I133" i="17767"/>
  <c r="H133" i="17767"/>
  <c r="G133" i="17767"/>
  <c r="F133" i="17767"/>
  <c r="I132" i="17767"/>
  <c r="H132" i="17767"/>
  <c r="G132" i="17767"/>
  <c r="F132" i="17767"/>
  <c r="I131" i="17767"/>
  <c r="H131" i="17767"/>
  <c r="G131" i="17767"/>
  <c r="F131" i="17767"/>
  <c r="I130" i="17767"/>
  <c r="H130" i="17767"/>
  <c r="G130" i="17767"/>
  <c r="F130" i="17767"/>
  <c r="I129" i="17767"/>
  <c r="H129" i="17767"/>
  <c r="G129" i="17767"/>
  <c r="F129" i="17767"/>
  <c r="I128" i="17767"/>
  <c r="H128" i="17767"/>
  <c r="G128" i="17767"/>
  <c r="F128" i="17767"/>
  <c r="I127" i="17767"/>
  <c r="H127" i="17767"/>
  <c r="G127" i="17767"/>
  <c r="F127" i="17767"/>
  <c r="I126" i="17767"/>
  <c r="H126" i="17767"/>
  <c r="G126" i="17767"/>
  <c r="F126" i="17767"/>
  <c r="I125" i="17767"/>
  <c r="H125" i="17767"/>
  <c r="G125" i="17767"/>
  <c r="F125" i="17767"/>
  <c r="I124" i="17767"/>
  <c r="H124" i="17767"/>
  <c r="G124" i="17767"/>
  <c r="F124" i="17767"/>
  <c r="I123" i="17767"/>
  <c r="H123" i="17767"/>
  <c r="G123" i="17767"/>
  <c r="F123" i="17767"/>
  <c r="I122" i="17767"/>
  <c r="H122" i="17767"/>
  <c r="G122" i="17767"/>
  <c r="F122" i="17767"/>
  <c r="I121" i="17767"/>
  <c r="H121" i="17767"/>
  <c r="G121" i="17767"/>
  <c r="F121" i="17767"/>
  <c r="I120" i="17767"/>
  <c r="H120" i="17767"/>
  <c r="G120" i="17767"/>
  <c r="F120" i="17767"/>
  <c r="I119" i="17767"/>
  <c r="H119" i="17767"/>
  <c r="G119" i="17767"/>
  <c r="F119" i="17767"/>
  <c r="I118" i="17767"/>
  <c r="H118" i="17767"/>
  <c r="G118" i="17767"/>
  <c r="F118" i="17767"/>
  <c r="I117" i="17767"/>
  <c r="H117" i="17767"/>
  <c r="G117" i="17767"/>
  <c r="F117" i="17767"/>
  <c r="I116" i="17767"/>
  <c r="H116" i="17767"/>
  <c r="G116" i="17767"/>
  <c r="F116" i="17767"/>
  <c r="I115" i="17767"/>
  <c r="H115" i="17767"/>
  <c r="G115" i="17767"/>
  <c r="F115" i="17767"/>
  <c r="I114" i="17767"/>
  <c r="H114" i="17767"/>
  <c r="G114" i="17767"/>
  <c r="F114" i="17767"/>
  <c r="I113" i="17767"/>
  <c r="H113" i="17767"/>
  <c r="J113" i="17767" s="1"/>
  <c r="G113" i="17767"/>
  <c r="F113" i="17767"/>
  <c r="K113" i="17767" s="1"/>
  <c r="I112" i="17767"/>
  <c r="H112" i="17767"/>
  <c r="J112" i="17767" s="1"/>
  <c r="G112" i="17767"/>
  <c r="F112" i="17767"/>
  <c r="K112" i="17767" s="1"/>
  <c r="I111" i="17767"/>
  <c r="H111" i="17767"/>
  <c r="J111" i="17767" s="1"/>
  <c r="G111" i="17767"/>
  <c r="F111" i="17767"/>
  <c r="K111" i="17767" s="1"/>
  <c r="I110" i="17767"/>
  <c r="H110" i="17767"/>
  <c r="G110" i="17767"/>
  <c r="F110" i="17767"/>
  <c r="I109" i="17767"/>
  <c r="H109" i="17767"/>
  <c r="J109" i="17767" s="1"/>
  <c r="G109" i="17767"/>
  <c r="F109" i="17767"/>
  <c r="K109" i="17767" s="1"/>
  <c r="I108" i="17767"/>
  <c r="H108" i="17767"/>
  <c r="G108" i="17767"/>
  <c r="F108" i="17767"/>
  <c r="I107" i="17767"/>
  <c r="H107" i="17767"/>
  <c r="G107" i="17767"/>
  <c r="F107" i="17767"/>
  <c r="I106" i="17767"/>
  <c r="H106" i="17767"/>
  <c r="G106" i="17767"/>
  <c r="F106" i="17767"/>
  <c r="I105" i="17767"/>
  <c r="H105" i="17767"/>
  <c r="G105" i="17767"/>
  <c r="F105" i="17767"/>
  <c r="K105" i="17767" s="1"/>
  <c r="I104" i="17767"/>
  <c r="H104" i="17767"/>
  <c r="J104" i="17767" s="1"/>
  <c r="G104" i="17767"/>
  <c r="F104" i="17767"/>
  <c r="K104" i="17767" s="1"/>
  <c r="I103" i="17767"/>
  <c r="H103" i="17767"/>
  <c r="G103" i="17767"/>
  <c r="F103" i="17767"/>
  <c r="K103" i="17767" s="1"/>
  <c r="I102" i="17767"/>
  <c r="H102" i="17767"/>
  <c r="G102" i="17767"/>
  <c r="F102" i="17767"/>
  <c r="I101" i="17767"/>
  <c r="H101" i="17767"/>
  <c r="G101" i="17767"/>
  <c r="F101" i="17767"/>
  <c r="I100" i="17767"/>
  <c r="H100" i="17767"/>
  <c r="G100" i="17767"/>
  <c r="F100" i="17767"/>
  <c r="I99" i="17767"/>
  <c r="H99" i="17767"/>
  <c r="J99" i="17767" s="1"/>
  <c r="G99" i="17767"/>
  <c r="F99" i="17767"/>
  <c r="K99" i="17767" s="1"/>
  <c r="I98" i="17767"/>
  <c r="H98" i="17767"/>
  <c r="G98" i="17767"/>
  <c r="F98" i="17767"/>
  <c r="I97" i="17767"/>
  <c r="H97" i="17767"/>
  <c r="J97" i="17767" s="1"/>
  <c r="G97" i="17767"/>
  <c r="F97" i="17767"/>
  <c r="K97" i="17767" s="1"/>
  <c r="I96" i="17767"/>
  <c r="H96" i="17767"/>
  <c r="G96" i="17767"/>
  <c r="F96" i="17767"/>
  <c r="I95" i="17767"/>
  <c r="H95" i="17767"/>
  <c r="G95" i="17767"/>
  <c r="F95" i="17767"/>
  <c r="I94" i="17767"/>
  <c r="H94" i="17767"/>
  <c r="G94" i="17767"/>
  <c r="F94" i="17767"/>
  <c r="I93" i="17767"/>
  <c r="H93" i="17767"/>
  <c r="J93" i="17767" s="1"/>
  <c r="G93" i="17767"/>
  <c r="F93" i="17767"/>
  <c r="K93" i="17767" s="1"/>
  <c r="I92" i="17767"/>
  <c r="H92" i="17767"/>
  <c r="G92" i="17767"/>
  <c r="F92" i="17767"/>
  <c r="I91" i="17767"/>
  <c r="H91" i="17767"/>
  <c r="G91" i="17767"/>
  <c r="F91" i="17767"/>
  <c r="I90" i="17767"/>
  <c r="H90" i="17767"/>
  <c r="J90" i="17767" s="1"/>
  <c r="G90" i="17767"/>
  <c r="F90" i="17767"/>
  <c r="I89" i="17767"/>
  <c r="H89" i="17767"/>
  <c r="G89" i="17767"/>
  <c r="F89" i="17767"/>
  <c r="I88" i="17767"/>
  <c r="H88" i="17767"/>
  <c r="G88" i="17767"/>
  <c r="F88" i="17767"/>
  <c r="I87" i="17767"/>
  <c r="H87" i="17767"/>
  <c r="G87" i="17767"/>
  <c r="F87" i="17767"/>
  <c r="I86" i="17767"/>
  <c r="H86" i="17767"/>
  <c r="J86" i="17767" s="1"/>
  <c r="G86" i="17767"/>
  <c r="F86" i="17767"/>
  <c r="K86" i="17767" s="1"/>
  <c r="I85" i="17767"/>
  <c r="H85" i="17767"/>
  <c r="G85" i="17767"/>
  <c r="F85" i="17767"/>
  <c r="I84" i="17767"/>
  <c r="H84" i="17767"/>
  <c r="G84" i="17767"/>
  <c r="F84" i="17767"/>
  <c r="I83" i="17767"/>
  <c r="H83" i="17767"/>
  <c r="J83" i="17767" s="1"/>
  <c r="G83" i="17767"/>
  <c r="F83" i="17767"/>
  <c r="I82" i="17767"/>
  <c r="H82" i="17767"/>
  <c r="J82" i="17767" s="1"/>
  <c r="G82" i="17767"/>
  <c r="F82" i="17767"/>
  <c r="I81" i="17767"/>
  <c r="H81" i="17767"/>
  <c r="G81" i="17767"/>
  <c r="F81" i="17767"/>
  <c r="I80" i="17767"/>
  <c r="H80" i="17767"/>
  <c r="G80" i="17767"/>
  <c r="F80" i="17767"/>
  <c r="I79" i="17767"/>
  <c r="H79" i="17767"/>
  <c r="G79" i="17767"/>
  <c r="F79" i="17767"/>
  <c r="I78" i="17767"/>
  <c r="H78" i="17767"/>
  <c r="J78" i="17767" s="1"/>
  <c r="G78" i="17767"/>
  <c r="F78" i="17767"/>
  <c r="K78" i="17767" s="1"/>
  <c r="I77" i="17767"/>
  <c r="H77" i="17767"/>
  <c r="J77" i="17767" s="1"/>
  <c r="G77" i="17767"/>
  <c r="F77" i="17767"/>
  <c r="K77" i="17767" s="1"/>
  <c r="I76" i="17767"/>
  <c r="H76" i="17767"/>
  <c r="G76" i="17767"/>
  <c r="F76" i="17767"/>
  <c r="I75" i="17767"/>
  <c r="H75" i="17767"/>
  <c r="G75" i="17767"/>
  <c r="F75" i="17767"/>
  <c r="I74" i="17767"/>
  <c r="H74" i="17767"/>
  <c r="G74" i="17767"/>
  <c r="F74" i="17767"/>
  <c r="I73" i="17767"/>
  <c r="H73" i="17767"/>
  <c r="G73" i="17767"/>
  <c r="F73" i="17767"/>
  <c r="I72" i="17767"/>
  <c r="H72" i="17767"/>
  <c r="J72" i="17767" s="1"/>
  <c r="G72" i="17767"/>
  <c r="F72" i="17767"/>
  <c r="K72" i="17767" s="1"/>
  <c r="I71" i="17767"/>
  <c r="H71" i="17767"/>
  <c r="J71" i="17767" s="1"/>
  <c r="G71" i="17767"/>
  <c r="F71" i="17767"/>
  <c r="K71" i="17767" s="1"/>
  <c r="I70" i="17767"/>
  <c r="H70" i="17767"/>
  <c r="J70" i="17767" s="1"/>
  <c r="G70" i="17767"/>
  <c r="F70" i="17767"/>
  <c r="K70" i="17767" s="1"/>
  <c r="I69" i="17767"/>
  <c r="H69" i="17767"/>
  <c r="J69" i="17767" s="1"/>
  <c r="G69" i="17767"/>
  <c r="F69" i="17767"/>
  <c r="K69" i="17767" s="1"/>
  <c r="I68" i="17767"/>
  <c r="H68" i="17767"/>
  <c r="J68" i="17767" s="1"/>
  <c r="G68" i="17767"/>
  <c r="F68" i="17767"/>
  <c r="K68" i="17767" s="1"/>
  <c r="I67" i="17767"/>
  <c r="H67" i="17767"/>
  <c r="J67" i="17767" s="1"/>
  <c r="G67" i="17767"/>
  <c r="F67" i="17767"/>
  <c r="K67" i="17767" s="1"/>
  <c r="I66" i="17767"/>
  <c r="H66" i="17767"/>
  <c r="J66" i="17767" s="1"/>
  <c r="G66" i="17767"/>
  <c r="F66" i="17767"/>
  <c r="K66" i="17767" s="1"/>
  <c r="I65" i="17767"/>
  <c r="H65" i="17767"/>
  <c r="J65" i="17767" s="1"/>
  <c r="G65" i="17767"/>
  <c r="F65" i="17767"/>
  <c r="K65" i="17767" s="1"/>
  <c r="I64" i="17767"/>
  <c r="H64" i="17767"/>
  <c r="J64" i="17767" s="1"/>
  <c r="G64" i="17767"/>
  <c r="F64" i="17767"/>
  <c r="K64" i="17767" s="1"/>
  <c r="I63" i="17767"/>
  <c r="H63" i="17767"/>
  <c r="J63" i="17767" s="1"/>
  <c r="G63" i="17767"/>
  <c r="F63" i="17767"/>
  <c r="K63" i="17767" s="1"/>
  <c r="I62" i="17767"/>
  <c r="H62" i="17767"/>
  <c r="J62" i="17767" s="1"/>
  <c r="G62" i="17767"/>
  <c r="F62" i="17767"/>
  <c r="K62" i="17767" s="1"/>
  <c r="I61" i="17767"/>
  <c r="H61" i="17767"/>
  <c r="G61" i="17767"/>
  <c r="F61" i="17767"/>
  <c r="I60" i="17767"/>
  <c r="H60" i="17767"/>
  <c r="J60" i="17767" s="1"/>
  <c r="G60" i="17767"/>
  <c r="F60" i="17767"/>
  <c r="K60" i="17767" s="1"/>
  <c r="I59" i="17767"/>
  <c r="H59" i="17767"/>
  <c r="J59" i="17767" s="1"/>
  <c r="G59" i="17767"/>
  <c r="F59" i="17767"/>
  <c r="K59" i="17767" s="1"/>
  <c r="I58" i="17767"/>
  <c r="H58" i="17767"/>
  <c r="J58" i="17767" s="1"/>
  <c r="G58" i="17767"/>
  <c r="F58" i="17767"/>
  <c r="K58" i="17767" s="1"/>
  <c r="I57" i="17767"/>
  <c r="H57" i="17767"/>
  <c r="G57" i="17767"/>
  <c r="F57" i="17767"/>
  <c r="I56" i="17767"/>
  <c r="H56" i="17767"/>
  <c r="G56" i="17767"/>
  <c r="F56" i="17767"/>
  <c r="I55" i="17767"/>
  <c r="H55" i="17767"/>
  <c r="G55" i="17767"/>
  <c r="F55" i="17767"/>
  <c r="I54" i="17767"/>
  <c r="H54" i="17767"/>
  <c r="G54" i="17767"/>
  <c r="F54" i="17767"/>
  <c r="I53" i="17767"/>
  <c r="H53" i="17767"/>
  <c r="G53" i="17767"/>
  <c r="F53" i="17767"/>
  <c r="I52" i="17767"/>
  <c r="H52" i="17767"/>
  <c r="G52" i="17767"/>
  <c r="F52" i="17767"/>
  <c r="I51" i="17767"/>
  <c r="H51" i="17767"/>
  <c r="J51" i="17767" s="1"/>
  <c r="G51" i="17767"/>
  <c r="F51" i="17767"/>
  <c r="K51" i="17767" s="1"/>
  <c r="I50" i="17767"/>
  <c r="H50" i="17767"/>
  <c r="G50" i="17767"/>
  <c r="F50" i="17767"/>
  <c r="I49" i="17767"/>
  <c r="H49" i="17767"/>
  <c r="G49" i="17767"/>
  <c r="F49" i="17767"/>
  <c r="I48" i="17767"/>
  <c r="H48" i="17767"/>
  <c r="G48" i="17767"/>
  <c r="F48" i="17767"/>
  <c r="I47" i="17767"/>
  <c r="H47" i="17767"/>
  <c r="J47" i="17767" s="1"/>
  <c r="G47" i="17767"/>
  <c r="F47" i="17767"/>
  <c r="K47" i="17767" s="1"/>
  <c r="I46" i="17767"/>
  <c r="H46" i="17767"/>
  <c r="G46" i="17767"/>
  <c r="F46" i="17767"/>
  <c r="I45" i="17767"/>
  <c r="H45" i="17767"/>
  <c r="G45" i="17767"/>
  <c r="F45" i="17767"/>
  <c r="I44" i="17767"/>
  <c r="H44" i="17767"/>
  <c r="G44" i="17767"/>
  <c r="F44" i="17767"/>
  <c r="I43" i="17767"/>
  <c r="H43" i="17767"/>
  <c r="G43" i="17767"/>
  <c r="F43" i="17767"/>
  <c r="I42" i="17767"/>
  <c r="H42" i="17767"/>
  <c r="J42" i="17767" s="1"/>
  <c r="G42" i="17767"/>
  <c r="F42" i="17767"/>
  <c r="K42" i="17767" s="1"/>
  <c r="I41" i="17767"/>
  <c r="H41" i="17767"/>
  <c r="J41" i="17767" s="1"/>
  <c r="G41" i="17767"/>
  <c r="F41" i="17767"/>
  <c r="K41" i="17767" s="1"/>
  <c r="I40" i="17767"/>
  <c r="H40" i="17767"/>
  <c r="G40" i="17767"/>
  <c r="F40" i="17767"/>
  <c r="I39" i="17767"/>
  <c r="H39" i="17767"/>
  <c r="J39" i="17767" s="1"/>
  <c r="G39" i="17767"/>
  <c r="F39" i="17767"/>
  <c r="K39" i="17767" s="1"/>
  <c r="I38" i="17767"/>
  <c r="H38" i="17767"/>
  <c r="J38" i="17767" s="1"/>
  <c r="G38" i="17767"/>
  <c r="F38" i="17767"/>
  <c r="K38" i="17767" s="1"/>
  <c r="I37" i="17767"/>
  <c r="H37" i="17767"/>
  <c r="J37" i="17767" s="1"/>
  <c r="G37" i="17767"/>
  <c r="F37" i="17767"/>
  <c r="K37" i="17767" s="1"/>
  <c r="I36" i="17767"/>
  <c r="H36" i="17767"/>
  <c r="G36" i="17767"/>
  <c r="F36" i="17767"/>
  <c r="I35" i="17767"/>
  <c r="H35" i="17767"/>
  <c r="G35" i="17767"/>
  <c r="F35" i="17767"/>
  <c r="I34" i="17767"/>
  <c r="H34" i="17767"/>
  <c r="J34" i="17767" s="1"/>
  <c r="G34" i="17767"/>
  <c r="F34" i="17767"/>
  <c r="K34" i="17767" s="1"/>
  <c r="I33" i="17767"/>
  <c r="H33" i="17767"/>
  <c r="J33" i="17767" s="1"/>
  <c r="G33" i="17767"/>
  <c r="F33" i="17767"/>
  <c r="K33" i="17767" s="1"/>
  <c r="I32" i="17767"/>
  <c r="H32" i="17767"/>
  <c r="J32" i="17767" s="1"/>
  <c r="G32" i="17767"/>
  <c r="F32" i="17767"/>
  <c r="K32" i="17767" s="1"/>
  <c r="I31" i="17767"/>
  <c r="H31" i="17767"/>
  <c r="J31" i="17767" s="1"/>
  <c r="G31" i="17767"/>
  <c r="F31" i="17767"/>
  <c r="K31" i="17767" s="1"/>
  <c r="I30" i="17767"/>
  <c r="H30" i="17767"/>
  <c r="J30" i="17767" s="1"/>
  <c r="G30" i="17767"/>
  <c r="F30" i="17767"/>
  <c r="K30" i="17767" s="1"/>
  <c r="I29" i="17767"/>
  <c r="H29" i="17767"/>
  <c r="J29" i="17767" s="1"/>
  <c r="G29" i="17767"/>
  <c r="F29" i="17767"/>
  <c r="K29" i="17767" s="1"/>
  <c r="I28" i="17767"/>
  <c r="H28" i="17767"/>
  <c r="J28" i="17767" s="1"/>
  <c r="G28" i="17767"/>
  <c r="F28" i="17767"/>
  <c r="K28" i="17767" s="1"/>
  <c r="I27" i="17767"/>
  <c r="H27" i="17767"/>
  <c r="J27" i="17767" s="1"/>
  <c r="G27" i="17767"/>
  <c r="F27" i="17767"/>
  <c r="K27" i="17767" s="1"/>
  <c r="I26" i="17767"/>
  <c r="H26" i="17767"/>
  <c r="G26" i="17767"/>
  <c r="F26" i="17767"/>
  <c r="I25" i="17767"/>
  <c r="H25" i="17767"/>
  <c r="J25" i="17767" s="1"/>
  <c r="G25" i="17767"/>
  <c r="F25" i="17767"/>
  <c r="K25" i="17767" s="1"/>
  <c r="I24" i="17767"/>
  <c r="H24" i="17767"/>
  <c r="G24" i="17767"/>
  <c r="F24" i="17767"/>
  <c r="I23" i="17767"/>
  <c r="H23" i="17767"/>
  <c r="J23" i="17767" s="1"/>
  <c r="G23" i="17767"/>
  <c r="F23" i="17767"/>
  <c r="K23" i="17767" s="1"/>
  <c r="I22" i="17767"/>
  <c r="H22" i="17767"/>
  <c r="J22" i="17767" s="1"/>
  <c r="G22" i="17767"/>
  <c r="F22" i="17767"/>
  <c r="K22" i="17767" s="1"/>
  <c r="I21" i="17767"/>
  <c r="H21" i="17767"/>
  <c r="J21" i="17767" s="1"/>
  <c r="G21" i="17767"/>
  <c r="F21" i="17767"/>
  <c r="K21" i="17767" s="1"/>
  <c r="I20" i="17767"/>
  <c r="H20" i="17767"/>
  <c r="J20" i="17767" s="1"/>
  <c r="G20" i="17767"/>
  <c r="F20" i="17767"/>
  <c r="K20" i="17767" s="1"/>
  <c r="I19" i="17767"/>
  <c r="H19" i="17767"/>
  <c r="J19" i="17767" s="1"/>
  <c r="G19" i="17767"/>
  <c r="F19" i="17767"/>
  <c r="K19" i="17767" s="1"/>
  <c r="I18" i="17767"/>
  <c r="H18" i="17767"/>
  <c r="J18" i="17767" s="1"/>
  <c r="G18" i="17767"/>
  <c r="F18" i="17767"/>
  <c r="K18" i="17767" s="1"/>
  <c r="I17" i="17767"/>
  <c r="H17" i="17767"/>
  <c r="J17" i="17767" s="1"/>
  <c r="G17" i="17767"/>
  <c r="F17" i="17767"/>
  <c r="K17" i="17767" s="1"/>
  <c r="I16" i="17767"/>
  <c r="H16" i="17767"/>
  <c r="J16" i="17767" s="1"/>
  <c r="G16" i="17767"/>
  <c r="F16" i="17767"/>
  <c r="K16" i="17767" s="1"/>
  <c r="I15" i="17767"/>
  <c r="H15" i="17767"/>
  <c r="J15" i="17767" s="1"/>
  <c r="G15" i="17767"/>
  <c r="F15" i="17767"/>
  <c r="K15" i="17767" s="1"/>
  <c r="I14" i="17767"/>
  <c r="H14" i="17767"/>
  <c r="J14" i="17767" s="1"/>
  <c r="G14" i="17767"/>
  <c r="F14" i="17767"/>
  <c r="K14" i="17767" s="1"/>
  <c r="I13" i="17767"/>
  <c r="H13" i="17767"/>
  <c r="J13" i="17767" s="1"/>
  <c r="G13" i="17767"/>
  <c r="F13" i="17767"/>
  <c r="K13" i="17767" s="1"/>
  <c r="I12" i="17767"/>
  <c r="H12" i="17767"/>
  <c r="J12" i="17767" s="1"/>
  <c r="G12" i="17767"/>
  <c r="F12" i="17767"/>
  <c r="K12" i="17767" s="1"/>
  <c r="I11" i="17767"/>
  <c r="H11" i="17767"/>
  <c r="J11" i="17767" s="1"/>
  <c r="G11" i="17767"/>
  <c r="F11" i="17767"/>
  <c r="K11" i="17767" s="1"/>
  <c r="I10" i="17767"/>
  <c r="H10" i="17767"/>
  <c r="J10" i="17767" s="1"/>
  <c r="G10" i="17767"/>
  <c r="F10" i="17767"/>
  <c r="K10" i="17767" s="1"/>
  <c r="K9" i="17767"/>
  <c r="K6" i="17767"/>
  <c r="I6" i="17767"/>
  <c r="F6" i="17767"/>
  <c r="G5" i="17767"/>
  <c r="K4" i="17767"/>
  <c r="E4" i="17767"/>
  <c r="E3" i="17767"/>
  <c r="J26" i="17767" l="1"/>
  <c r="J84" i="17767"/>
  <c r="J100" i="17767"/>
  <c r="J114" i="17767"/>
  <c r="J117" i="17767"/>
  <c r="J120" i="17767"/>
  <c r="J121" i="17767"/>
  <c r="J125" i="17767"/>
  <c r="J126" i="17767"/>
  <c r="J130" i="17767"/>
  <c r="J132" i="17767"/>
  <c r="J133" i="17767"/>
  <c r="J137" i="17767"/>
  <c r="K81" i="17767"/>
  <c r="K82" i="17767"/>
  <c r="K83" i="17767"/>
  <c r="K84" i="17767"/>
  <c r="K118" i="17767"/>
  <c r="K120" i="17767"/>
  <c r="K121" i="17767"/>
  <c r="K122" i="17767"/>
  <c r="K124" i="17767"/>
  <c r="K126" i="17767"/>
  <c r="K128" i="17767"/>
  <c r="K130" i="17767"/>
  <c r="K132" i="17767"/>
  <c r="K133" i="17767"/>
  <c r="K137" i="17767"/>
  <c r="J48" i="17767"/>
  <c r="K45" i="17767"/>
  <c r="K46" i="17767"/>
  <c r="K48" i="17767"/>
  <c r="J94" i="17767"/>
  <c r="J149" i="17767"/>
  <c r="J153" i="17767"/>
  <c r="J154" i="17767"/>
  <c r="J158" i="17767"/>
  <c r="J50" i="17767"/>
  <c r="K149" i="17767"/>
  <c r="K150" i="17767"/>
  <c r="K154" i="17767"/>
  <c r="K156" i="17767"/>
  <c r="K158" i="17767"/>
  <c r="K164" i="17767"/>
  <c r="K182" i="17767"/>
  <c r="K184" i="17767"/>
  <c r="K186" i="17767"/>
  <c r="K188" i="17767"/>
  <c r="J227" i="17767"/>
  <c r="J229" i="17767"/>
  <c r="J24" i="17767"/>
  <c r="J35" i="17767"/>
  <c r="J36" i="17767"/>
  <c r="J40" i="17767"/>
  <c r="J73" i="17767"/>
  <c r="J74" i="17767"/>
  <c r="J76" i="17767"/>
  <c r="K89" i="17767"/>
  <c r="K90" i="17767"/>
  <c r="K91" i="17767"/>
  <c r="K92" i="17767"/>
  <c r="K98" i="17767"/>
  <c r="K100" i="17767"/>
  <c r="J102" i="17767"/>
  <c r="J108" i="17767"/>
  <c r="J183" i="17767"/>
  <c r="K206" i="17767"/>
  <c r="K40" i="17767"/>
  <c r="J54" i="17767"/>
  <c r="J57" i="17767"/>
  <c r="K73" i="17767"/>
  <c r="K74" i="17767"/>
  <c r="K75" i="17767"/>
  <c r="K76" i="17767"/>
  <c r="J87" i="17767"/>
  <c r="J88" i="17767"/>
  <c r="J89" i="17767"/>
  <c r="J92" i="17767"/>
  <c r="K138" i="17767"/>
  <c r="J43" i="17767"/>
  <c r="J44" i="17767"/>
  <c r="J45" i="17767"/>
  <c r="J46" i="17767"/>
  <c r="J79" i="17767"/>
  <c r="J80" i="17767"/>
  <c r="J81" i="17767"/>
  <c r="J103" i="17767"/>
  <c r="J105" i="17767"/>
  <c r="J106" i="17767"/>
  <c r="J224" i="17767"/>
  <c r="J225" i="17767"/>
  <c r="J226" i="17767"/>
  <c r="K24" i="17767"/>
  <c r="J52" i="17767"/>
  <c r="J196" i="17767"/>
  <c r="K106" i="17767"/>
  <c r="K107" i="17767"/>
  <c r="K108" i="17767"/>
  <c r="J110" i="17767"/>
  <c r="K226" i="17767"/>
  <c r="K50" i="17767"/>
  <c r="K52" i="17767"/>
  <c r="K53" i="17767"/>
  <c r="K54" i="17767"/>
  <c r="J56" i="17767"/>
  <c r="J95" i="17767"/>
  <c r="J96" i="17767"/>
  <c r="J98" i="17767"/>
  <c r="K114" i="17767"/>
  <c r="K116" i="17767"/>
  <c r="K117" i="17767"/>
  <c r="J123" i="17767"/>
  <c r="J127" i="17767"/>
  <c r="J129" i="17767"/>
  <c r="K142" i="17767"/>
  <c r="K145" i="17767"/>
  <c r="J151" i="17767"/>
  <c r="J155" i="17767"/>
  <c r="J157" i="17767"/>
  <c r="J164" i="17767"/>
  <c r="J182" i="17767"/>
  <c r="J185" i="17767"/>
  <c r="J186" i="17767"/>
  <c r="J188" i="17767"/>
  <c r="K196" i="17767"/>
  <c r="K197" i="17767"/>
  <c r="J49" i="17767"/>
  <c r="J55" i="17767"/>
  <c r="J61" i="17767"/>
  <c r="J85" i="17767"/>
  <c r="J101" i="17767"/>
  <c r="J118" i="17767"/>
  <c r="J124" i="17767"/>
  <c r="J142" i="17767"/>
  <c r="J184" i="17767"/>
  <c r="J187" i="17767"/>
  <c r="J202" i="17767"/>
  <c r="J206" i="17767"/>
  <c r="K225" i="17767"/>
  <c r="K26" i="17767"/>
  <c r="K49" i="17767"/>
  <c r="K55" i="17767"/>
  <c r="K56" i="17767"/>
  <c r="K61" i="17767"/>
  <c r="K85" i="17767"/>
  <c r="K94" i="17767"/>
  <c r="K101" i="17767"/>
  <c r="K102" i="17767"/>
  <c r="K110" i="17767"/>
  <c r="J119" i="17767"/>
  <c r="K129" i="17767"/>
  <c r="J143" i="17767"/>
  <c r="K157" i="17767"/>
  <c r="J163" i="17767"/>
  <c r="J223" i="17767"/>
  <c r="K227" i="17767"/>
  <c r="K36" i="17767"/>
  <c r="K44" i="17767"/>
  <c r="J53" i="17767"/>
  <c r="K57" i="17767"/>
  <c r="J75" i="17767"/>
  <c r="K79" i="17767"/>
  <c r="K80" i="17767"/>
  <c r="K87" i="17767"/>
  <c r="K88" i="17767"/>
  <c r="J91" i="17767"/>
  <c r="K95" i="17767"/>
  <c r="K96" i="17767"/>
  <c r="J107" i="17767"/>
  <c r="J115" i="17767"/>
  <c r="J116" i="17767"/>
  <c r="J122" i="17767"/>
  <c r="K125" i="17767"/>
  <c r="J128" i="17767"/>
  <c r="J131" i="17767"/>
  <c r="J150" i="17767"/>
  <c r="K153" i="17767"/>
  <c r="J156" i="17767"/>
  <c r="J159" i="17767"/>
  <c r="K185" i="17767"/>
  <c r="J195" i="17767"/>
  <c r="K229" i="17767"/>
  <c r="K35" i="17767"/>
  <c r="K43" i="17767"/>
  <c r="K115" i="17767"/>
  <c r="K119" i="17767"/>
  <c r="K123" i="17767"/>
  <c r="K127" i="17767"/>
  <c r="K131" i="17767"/>
  <c r="K135" i="17767"/>
  <c r="K139" i="17767"/>
  <c r="K143" i="17767"/>
  <c r="K151" i="17767"/>
  <c r="K155" i="17767"/>
  <c r="K159" i="17767"/>
  <c r="K183" i="17767"/>
  <c r="K187" i="17767"/>
  <c r="K195" i="17767"/>
  <c r="G35" i="17765"/>
  <c r="G37" i="17765"/>
  <c r="G39" i="17765"/>
  <c r="G40" i="17765"/>
  <c r="G41" i="17765"/>
  <c r="G42" i="17765"/>
  <c r="G43" i="17765"/>
  <c r="G44" i="17765"/>
  <c r="G45" i="17765"/>
  <c r="G46" i="17765"/>
  <c r="G47" i="17765"/>
  <c r="G48" i="17765"/>
  <c r="G49" i="17765"/>
  <c r="G33" i="17765"/>
  <c r="G32" i="17765"/>
  <c r="G31" i="17765"/>
  <c r="G30" i="17765"/>
  <c r="G29" i="17765"/>
  <c r="G28" i="17765"/>
  <c r="G27" i="17765"/>
  <c r="G26" i="17765"/>
  <c r="G25" i="17765"/>
  <c r="G24" i="17765"/>
  <c r="G9" i="17765"/>
  <c r="G8" i="17765"/>
  <c r="G12" i="17765"/>
  <c r="G13" i="17765"/>
  <c r="G14" i="17765"/>
  <c r="G15" i="17765"/>
  <c r="G16" i="17765"/>
  <c r="G17" i="17765"/>
  <c r="G18" i="17765"/>
  <c r="G19" i="17765"/>
  <c r="G20" i="17765"/>
  <c r="G21" i="17765"/>
  <c r="G22" i="17765"/>
  <c r="G23" i="17765"/>
  <c r="G10" i="17765"/>
  <c r="H12" i="32" l="1"/>
  <c r="G12" i="32"/>
  <c r="G11" i="17765" l="1"/>
</calcChain>
</file>

<file path=xl/comments1.xml><?xml version="1.0" encoding="utf-8"?>
<comments xmlns="http://schemas.openxmlformats.org/spreadsheetml/2006/main">
  <authors>
    <author>Bošanský Jiří Mgr.</author>
  </authors>
  <commentList>
    <comment ref="AH40" authorId="0">
      <text>
        <r>
          <rPr>
            <b/>
            <sz val="9"/>
            <color indexed="81"/>
            <rFont val="Tahoma"/>
            <charset val="1"/>
          </rPr>
          <t>Bošanský Jiří Mgr.:</t>
        </r>
        <r>
          <rPr>
            <sz val="9"/>
            <color indexed="81"/>
            <rFont val="Tahoma"/>
            <charset val="1"/>
          </rPr>
          <t xml:space="preserve">
v pokladně v části SOBCPO</t>
        </r>
      </text>
    </comment>
    <comment ref="AH129" authorId="0">
      <text>
        <r>
          <rPr>
            <b/>
            <sz val="9"/>
            <color indexed="81"/>
            <rFont val="Tahoma"/>
            <charset val="1"/>
          </rPr>
          <t>Bošanský Jiří Mgr.:</t>
        </r>
        <r>
          <rPr>
            <sz val="9"/>
            <color indexed="81"/>
            <rFont val="Tahoma"/>
            <charset val="1"/>
          </rPr>
          <t xml:space="preserve">
v pokladně 26 854 228 Kč</t>
        </r>
      </text>
    </comment>
    <comment ref="N144" authorId="0">
      <text>
        <r>
          <rPr>
            <b/>
            <sz val="12"/>
            <color indexed="81"/>
            <rFont val="Tahoma"/>
            <family val="2"/>
            <charset val="238"/>
          </rPr>
          <t>841 202 Kč u ZZ MV na RP 5019</t>
        </r>
      </text>
    </comment>
    <comment ref="Y144" authorId="0">
      <text>
        <r>
          <rPr>
            <b/>
            <sz val="9"/>
            <color indexed="81"/>
            <rFont val="Tahoma"/>
            <charset val="1"/>
          </rPr>
          <t>Bošanský Jiří Mgr.:</t>
        </r>
        <r>
          <rPr>
            <sz val="9"/>
            <color indexed="81"/>
            <rFont val="Tahoma"/>
            <charset val="1"/>
          </rPr>
          <t xml:space="preserve">
doplněna RP 5019</t>
        </r>
      </text>
    </comment>
    <comment ref="AD144" authorId="0">
      <text>
        <r>
          <rPr>
            <b/>
            <sz val="9"/>
            <color indexed="81"/>
            <rFont val="Tahoma"/>
            <charset val="1"/>
          </rPr>
          <t>Bošanský Jiří Mgr.:</t>
        </r>
        <r>
          <rPr>
            <sz val="9"/>
            <color indexed="81"/>
            <rFont val="Tahoma"/>
            <charset val="1"/>
          </rPr>
          <t xml:space="preserve">
doplnit RP 5019</t>
        </r>
      </text>
    </comment>
  </commentList>
</comments>
</file>

<file path=xl/sharedStrings.xml><?xml version="1.0" encoding="utf-8"?>
<sst xmlns="http://schemas.openxmlformats.org/spreadsheetml/2006/main" count="1999" uniqueCount="833">
  <si>
    <t>v tis. Kč</t>
  </si>
  <si>
    <t>schválený</t>
  </si>
  <si>
    <t>po změnách</t>
  </si>
  <si>
    <t xml:space="preserve"> </t>
  </si>
  <si>
    <t>Skutečnost</t>
  </si>
  <si>
    <t>% plnění</t>
  </si>
  <si>
    <t>Tabulka č. 5</t>
  </si>
  <si>
    <t xml:space="preserve"> z toho: </t>
  </si>
  <si>
    <t>Běžné výdaje kapitoly celkem</t>
  </si>
  <si>
    <t>Kapitálové výdaje kapitoly celkem</t>
  </si>
  <si>
    <t xml:space="preserve">  Tabulka č. 6</t>
  </si>
  <si>
    <t>Kapitálové výdaje organizačních složek státu celkem</t>
  </si>
  <si>
    <t>Neinvestiční příspěvky příspěvkovým organizacím celkem</t>
  </si>
  <si>
    <t>Investiční příspěvky příspěvkovým organizacím celkem</t>
  </si>
  <si>
    <t xml:space="preserve"> a neziskovým institucím celkem</t>
  </si>
  <si>
    <t>a neziskovým institucím celkem</t>
  </si>
  <si>
    <t>Poznámka:</t>
  </si>
  <si>
    <t>celkem</t>
  </si>
  <si>
    <t>na škody způsobené živelními katastrofami</t>
  </si>
  <si>
    <t>transfery</t>
  </si>
  <si>
    <t>krajům celkem</t>
  </si>
  <si>
    <t>obcím celkem</t>
  </si>
  <si>
    <t xml:space="preserve">a jiným subjektům z rozpočtu kapitoly </t>
  </si>
  <si>
    <t>neinvestiční</t>
  </si>
  <si>
    <t>investiční</t>
  </si>
  <si>
    <t xml:space="preserve">Účelové transfery a půjčené prostředky (návratné finanční výpomoci) </t>
  </si>
  <si>
    <t>Tabulka č. 10</t>
  </si>
  <si>
    <t>Tabulka č. 3</t>
  </si>
  <si>
    <t>Tabulka č. 4</t>
  </si>
  <si>
    <t>Ukazatel</t>
  </si>
  <si>
    <t xml:space="preserve">transferů a půjčených prostředků (návratných finančních výpomocí) krajům a obcím, podnikatelským  </t>
  </si>
  <si>
    <t>půjčené prostředky (návratné finanční výpomoci)</t>
  </si>
  <si>
    <t>Investiční transfery a půjčené prostředky krajům a obcím celkem</t>
  </si>
  <si>
    <t>Neinvestiční transfery a půjčené prostředky (návratné finanční výpomoci) podnikatelským subjektům</t>
  </si>
  <si>
    <t xml:space="preserve">Investiční transfery a půjčené prostředky (návratné finanční výpomoci) podnikatelským subjektům </t>
  </si>
  <si>
    <t>krajům, obcím a jiným subjektům z rozpočtu kapitoly</t>
  </si>
  <si>
    <t>Účelové neinvestiční transfery krajům celkem</t>
  </si>
  <si>
    <t>Účelové investiční transfery krajům celkem</t>
  </si>
  <si>
    <t xml:space="preserve">Účelové neinvestiční půjčené prostředky (návratné finanční výpomoci) </t>
  </si>
  <si>
    <t xml:space="preserve">Účelové investiční půjčené prostředky (návratné finanční výpomoci) </t>
  </si>
  <si>
    <t>Účelové neinvestiční transfery obcím celkem</t>
  </si>
  <si>
    <t>Účelové investiční transfery obcím celkem</t>
  </si>
  <si>
    <t>Plnění závazných ukazatelů státního rozpočtu</t>
  </si>
  <si>
    <t>Tabulka č. 9</t>
  </si>
  <si>
    <t>Tabulka č. 1</t>
  </si>
  <si>
    <t>Neinvestiční příspěvky státním fondům celkem</t>
  </si>
  <si>
    <t>Investiční příspěvky státním fondům celkem</t>
  </si>
  <si>
    <t>5=4:2</t>
  </si>
  <si>
    <t>Transfery a půjčené prostředky (návratné finanční výpomoci) Regionálním radám regionů soudržnosti</t>
  </si>
  <si>
    <t xml:space="preserve">Přehled účelových transferů a půjčených prostředků (návratných finančních výpomocí) </t>
  </si>
  <si>
    <t>Regionálním radám regionů soudržnosti celkem</t>
  </si>
  <si>
    <t>Přehled výdajů organizačních složek státu, příspěvků a dotací příspěvkovým a podobným organizacím,</t>
  </si>
  <si>
    <t>A</t>
  </si>
  <si>
    <t>Organizační schéma kapitoly 314 - Ministerstva vnitra s vyjádřením kompetenčního uspořádání mezi ústředním orgánem a jím zřízenými OSS a příspěvkovými organizacemi se stavem k 31. 12. 2015</t>
  </si>
  <si>
    <t xml:space="preserve"> MINISTERSTVO VNITRA  ČR</t>
  </si>
  <si>
    <t>ORGANIZAČNÍ</t>
  </si>
  <si>
    <t>1/</t>
  </si>
  <si>
    <t>ORGANIZAĆNÍ SLOŽKA STÁTU - Správa základních registrů</t>
  </si>
  <si>
    <t>ORGANIZAČNÍ SLOŽKY STÁTU</t>
  </si>
  <si>
    <t>ORGANIZAČNÍ SLOŽKY</t>
  </si>
  <si>
    <t>OSTATNÍ ORGANIZAČNÍ</t>
  </si>
  <si>
    <t>STÁTNÍ</t>
  </si>
  <si>
    <t>SLOŽKA STÁTU  MV</t>
  </si>
  <si>
    <t xml:space="preserve"> - krajská ředitelství P ČR</t>
  </si>
  <si>
    <t>STÁTU - Archivy</t>
  </si>
  <si>
    <t>STÁTU - HZS krajů</t>
  </si>
  <si>
    <t xml:space="preserve"> SLOŽKY STÁTU</t>
  </si>
  <si>
    <t>PŘÍSPĚVKOVÉ  ORGANIZACE</t>
  </si>
  <si>
    <t>2/</t>
  </si>
  <si>
    <t>3/</t>
  </si>
  <si>
    <t>S</t>
  </si>
  <si>
    <t>vlastní ministerstvo</t>
  </si>
  <si>
    <t>Krajské ředitelství policie hl. m. Prahy se sídlem v Praze</t>
  </si>
  <si>
    <t>Národní archiv</t>
  </si>
  <si>
    <t xml:space="preserve"> Praha hl.m.</t>
  </si>
  <si>
    <t>VPŠ a SPŠ MV v Praze</t>
  </si>
  <si>
    <t>Zařízení služeb  pro MV</t>
  </si>
  <si>
    <t>4/</t>
  </si>
  <si>
    <t>T</t>
  </si>
  <si>
    <t>Krajské ředitelství policie Středočeského kraje se sídlem v Praze</t>
  </si>
  <si>
    <t>Státní oblastní archiv
v Praze</t>
  </si>
  <si>
    <t>Středočeský kraj</t>
  </si>
  <si>
    <t>VPŠ a SPŠ MV v Holešově</t>
  </si>
  <si>
    <t>Bytová správa  MV</t>
  </si>
  <si>
    <t>Á</t>
  </si>
  <si>
    <t>Generální ředitelství HZS ČR                 a zařízení GŘ HZS</t>
  </si>
  <si>
    <t>Krajské ředitelství policie Jihočeského kraje se sídlem v Č. Budějovicích</t>
  </si>
  <si>
    <t>Státní oblastní archiv
v Třeboni</t>
  </si>
  <si>
    <t>Jihočeský kraj</t>
  </si>
  <si>
    <t>VPŠ MV pro kriminální policii</t>
  </si>
  <si>
    <t>Tiskárna   MV</t>
  </si>
  <si>
    <t>Krajské ředitelství policie Plzeňského kraje se sídlem v Plzni</t>
  </si>
  <si>
    <t>Státní oblastní archiv
v Plzni</t>
  </si>
  <si>
    <t>Plzeňský kraj</t>
  </si>
  <si>
    <t>Policejní akademie ČR</t>
  </si>
  <si>
    <t>Institut pro veřejnou správu Praha</t>
  </si>
  <si>
    <t>N</t>
  </si>
  <si>
    <t xml:space="preserve">Správa logistického zabezpečení PP ČR a útvary policie s celostátní působností                                                        </t>
  </si>
  <si>
    <t>Krajské ředitelství policie Karlovarského kraje se sídlem v Karlových Varech</t>
  </si>
  <si>
    <t>Státní oblastní archiv
v Litoměřicích</t>
  </si>
  <si>
    <t>Karlovarský kraj</t>
  </si>
  <si>
    <t>Střední odborná škola PO a Vyšší odborná škola PO ve Frýdku-Místku</t>
  </si>
  <si>
    <t>Í</t>
  </si>
  <si>
    <t>Krajské ředitelství policie Ústeckého kraje se sídlem v Ústí n. Labem</t>
  </si>
  <si>
    <t>Státní oblastní archiv
v Zámrsku</t>
  </si>
  <si>
    <t>Ústecký kraj</t>
  </si>
  <si>
    <t>Muzeum  Policie ČR</t>
  </si>
  <si>
    <t>Krajské ředitelství policie Libereckého kraje se sídlem v Liberci</t>
  </si>
  <si>
    <t>Moravský zemský archiv
v Brně</t>
  </si>
  <si>
    <t>Liberecký kraj</t>
  </si>
  <si>
    <t>Správa uprchlických zařízení  MV</t>
  </si>
  <si>
    <t>Krajské ředitelství policie Královéhradeckého kraje se sídlem                        v Hradci Králové</t>
  </si>
  <si>
    <t>Zemský archiv v Opavě</t>
  </si>
  <si>
    <t>Královéhradecký kraj</t>
  </si>
  <si>
    <t>Centrum sportu MV</t>
  </si>
  <si>
    <t>P</t>
  </si>
  <si>
    <t>Krajské ředitelství policie Pardubického kraje se sídlem v Pardubicích</t>
  </si>
  <si>
    <t>Pardubický kraj</t>
  </si>
  <si>
    <t>Zdravotnické zařízení MV</t>
  </si>
  <si>
    <t>R</t>
  </si>
  <si>
    <t>Krajské ředitelství policie Kraje Vysočina se sídlem v Jihlavě</t>
  </si>
  <si>
    <t>kraj Vysočina</t>
  </si>
  <si>
    <t>Krajské ředitelství policie Jihomoravského kraje se sídlem v Brně</t>
  </si>
  <si>
    <t>Jihomoravský kraj</t>
  </si>
  <si>
    <t>V</t>
  </si>
  <si>
    <t>Krajské ředitelství policie Zlínského kraje se sídlem ve Zlíně</t>
  </si>
  <si>
    <t>Zlínský kraj</t>
  </si>
  <si>
    <t>Krajské ředitelství policie Olomouckého kraje se sídlem v Olomouci</t>
  </si>
  <si>
    <t>Olomoucký kraj</t>
  </si>
  <si>
    <t>Krajské ředitelství policie Moravskoslezského kraje se sídlem          v Ostravě</t>
  </si>
  <si>
    <t>Moravskoslezský kraj</t>
  </si>
  <si>
    <t>záchranný útvar HZS ČR</t>
  </si>
  <si>
    <r>
      <t>1/</t>
    </r>
    <r>
      <rPr>
        <sz val="10"/>
        <rFont val="Arial CE"/>
        <family val="2"/>
        <charset val="238"/>
      </rPr>
      <t xml:space="preserve">  Hospodaří jako organizační složka státu MV</t>
    </r>
  </si>
  <si>
    <r>
      <t xml:space="preserve">3/ </t>
    </r>
    <r>
      <rPr>
        <sz val="10"/>
        <rFont val="Arial CE"/>
        <family val="2"/>
        <charset val="238"/>
      </rPr>
      <t>Příspěvková organizace odměňující své zaměstnance dle z. č. 143/1992 Sb.</t>
    </r>
  </si>
  <si>
    <r>
      <t>3/</t>
    </r>
    <r>
      <rPr>
        <sz val="10"/>
        <rFont val="Arial CE"/>
        <family val="2"/>
        <charset val="238"/>
      </rPr>
      <t xml:space="preserve">  Příspěvkové organizace odměňující své zaměstnance dle § 109 odst. 3 písm. d, z. č. 262/2006 Sb.</t>
    </r>
  </si>
  <si>
    <r>
      <t xml:space="preserve">2/ </t>
    </r>
    <r>
      <rPr>
        <sz val="10"/>
        <rFont val="Arial CE"/>
        <family val="2"/>
        <charset val="238"/>
      </rPr>
      <t xml:space="preserve"> Územní pracoviště  OSS MV </t>
    </r>
  </si>
  <si>
    <r>
      <t xml:space="preserve">4/ </t>
    </r>
    <r>
      <rPr>
        <sz val="10"/>
        <rFont val="Arial CE"/>
        <family val="2"/>
        <charset val="238"/>
      </rPr>
      <t>Příspěvková organizace odměňující své zaměstnance dle z. č. 1/1992 Sb.</t>
    </r>
  </si>
  <si>
    <r>
      <t>4/</t>
    </r>
    <r>
      <rPr>
        <sz val="10"/>
        <rFont val="Arial CE"/>
        <family val="2"/>
        <charset val="238"/>
      </rPr>
      <t xml:space="preserve">  Příspěvkové organizace odměňující své zaměstnance dle § 109 odst. 2 z. č. 262/2006 Sb.</t>
    </r>
  </si>
  <si>
    <t xml:space="preserve">          TABULKOVÁ   ČÁST</t>
  </si>
  <si>
    <t>Tabulkové přílohy:</t>
  </si>
  <si>
    <t>Bilance příjmů a výdajů státního rozpočtu v druhovém členění rozpočtové skladby</t>
  </si>
  <si>
    <t>Tabulka č. 2</t>
  </si>
  <si>
    <t>Rozbor zaměstnanosti a čerpání mzdových prostředků za rok 2015</t>
  </si>
  <si>
    <t xml:space="preserve">Přehled výdajů státního rozpočtu na podporu výzkumu, vývoje a inovací    </t>
  </si>
  <si>
    <t>Přehled výdajů organizačních složek státu, příspěvků a dotací příspěvkovým a podobným organizacím, transferů a půjčených prostředků (návratných finančních výpomocí) krajům a obcím, podnikatelským a jiným subjektům z rozpočtu kapitoly</t>
  </si>
  <si>
    <t>Tabulka č. 6</t>
  </si>
  <si>
    <t>Přehled účelových transferů a půjčených prostředků (návratných finančních výpomocí) krajům, obcím a jiným subjektům z rozpočtu kapitoly</t>
  </si>
  <si>
    <t>Tabulka č. 7</t>
  </si>
  <si>
    <t>Tabulka č. 8</t>
  </si>
  <si>
    <t>Výdaje kapitoly na programy/projekty spolufinancované z rozpočtu Evropské unie nebo finančních mechanismů</t>
  </si>
  <si>
    <t>Výdaje na platy a ostatní platby za provedenou práci/ostatní osobní náklady v rámci programů/projektů spolufinancovaných z rozpočtu Evropské unie nebo finančních mechanismů čerpané v roce 2015 za organizační složky státu a příspěvkové organizace</t>
  </si>
  <si>
    <t>Příjmy kapitoly na programy/projekty spolufinancované z rozpočtu Evropské unie nebo finančních mechanismů</t>
  </si>
  <si>
    <t>zvláštní soubor</t>
  </si>
  <si>
    <t>Výdaje účelově určené na programové financování</t>
  </si>
  <si>
    <t>Rozpočet 2015</t>
  </si>
  <si>
    <t xml:space="preserve"> k 31. 12. 2015</t>
  </si>
  <si>
    <t xml:space="preserve"> k 31.12.2015</t>
  </si>
  <si>
    <t>Kapitola: 314 - Ministerstvo vnitra</t>
  </si>
  <si>
    <t>Druh ukazatele</t>
  </si>
  <si>
    <t xml:space="preserve">Výsledek 
od poč. roku
v tis. Kč 
</t>
  </si>
  <si>
    <t xml:space="preserve">Plnění
(%)
</t>
  </si>
  <si>
    <t>1</t>
  </si>
  <si>
    <t>2</t>
  </si>
  <si>
    <t>3</t>
  </si>
  <si>
    <t>4</t>
  </si>
  <si>
    <t>Souhrnné ukazatele</t>
  </si>
  <si>
    <t>Rozpočtové příjmy</t>
  </si>
  <si>
    <t>Rozpočtové výdaje</t>
  </si>
  <si>
    <t>Daňové příjmy</t>
  </si>
  <si>
    <t>Příjmy z pojistného na sociální zabezpečení a příspěvku na státní politiku zaměstnanosti</t>
  </si>
  <si>
    <t>v tom: pojistné na důchodové pojištění</t>
  </si>
  <si>
    <t>pojistné na nemocenské pojištění a příspěvek na státní politiku zaměstnanosti</t>
  </si>
  <si>
    <t>Nedaňové příjmy, kapitálové příjmy a přijaté transfery celkem</t>
  </si>
  <si>
    <t>příjmy z prostředků finančních mechanismů</t>
  </si>
  <si>
    <t>ostatní nedaňové příjmy, kapitálové příjmy a přijaté transfery celkem</t>
  </si>
  <si>
    <t>Výdaje Policie ČR</t>
  </si>
  <si>
    <t>Výdaje Hasičského záchranného sboru ČR</t>
  </si>
  <si>
    <t>Výdaje na zabezpečení plnění úkolů Ministerstva vnitra a ostatních organizačních složek státu</t>
  </si>
  <si>
    <t>Výdaje na sportovní reprezentaci</t>
  </si>
  <si>
    <t>Dávky důchodového pojištění</t>
  </si>
  <si>
    <t>Ostatní sociální dávky</t>
  </si>
  <si>
    <t>Průřezové ukazatele</t>
  </si>
  <si>
    <t>Platy zaměstnanců a ostatní platby za provedenou práci</t>
  </si>
  <si>
    <t>Povinné pojistné placené zaměstnavatelem</t>
  </si>
  <si>
    <t>Převod fondu kulturních a sociálních potřeb</t>
  </si>
  <si>
    <t>Platy zaměstnanců ozbrojených sborů a složek ve služebním poměru</t>
  </si>
  <si>
    <t>Platy zaměstnanců v pracovním poměru</t>
  </si>
  <si>
    <t>Výdaje na výzkum, vývoj a inovace celkem včetně programů spolufinancovaných z prostředků zahraničních programů</t>
  </si>
  <si>
    <t>v tom: ze státního rozpočtu celkem</t>
  </si>
  <si>
    <t xml:space="preserve">           v tom: institucionální podpora celkem</t>
  </si>
  <si>
    <t xml:space="preserve">                       účelová podpora celkem</t>
  </si>
  <si>
    <t>podíl prostředků zahraničních programů</t>
  </si>
  <si>
    <t>Účelová podpora na programy aplikovaného výzkumu, vývoje a inovací</t>
  </si>
  <si>
    <t>Účelová podpora na specifický vysokoškolský výzkum</t>
  </si>
  <si>
    <t>Institucionální podpora výzkumných organizací podle zhodnocení jimi dosažených výsledků</t>
  </si>
  <si>
    <t>Institucionální podpora na mezinárodní spolupráci ČR ve výzkumu a vývoji</t>
  </si>
  <si>
    <t>Zahraniční rozvojová spolupráce</t>
  </si>
  <si>
    <t>Program sociální prevence a prevence kriminality</t>
  </si>
  <si>
    <t>Podpora projektů integrace příslušníků romské komunity</t>
  </si>
  <si>
    <t>Zajištění přípravy na krizové situace podle zákona č. 240/2000 Sb.</t>
  </si>
  <si>
    <t>Platy státních úředníků</t>
  </si>
  <si>
    <t>Výdaje spolufinancované zcela nebo částečně z rozpočtu Evropské unie bez společné zemědělské politiky celkem</t>
  </si>
  <si>
    <t>v tom: ze státního rozpočtu</t>
  </si>
  <si>
    <t xml:space="preserve">           podíl rozpočtu Evropské unie</t>
  </si>
  <si>
    <t>Výdaje na společné projekty, které jsou zcela nebo částečně financovány z prostředků finančních mechanismů celkem</t>
  </si>
  <si>
    <t xml:space="preserve">            podíl prostředků finančních mech.</t>
  </si>
  <si>
    <t>Výdaje vedené v informačním systému programového financování EDS/SMVS celkem</t>
  </si>
  <si>
    <t xml:space="preserve">Schválený 
</t>
  </si>
  <si>
    <t xml:space="preserve">po změnách
</t>
  </si>
  <si>
    <t>Konečný rozpočet 2015</t>
  </si>
  <si>
    <t>Skutečnost 2015</t>
  </si>
  <si>
    <t>Období: leden - prosinec 2015</t>
  </si>
  <si>
    <t>v tom: příjmy z rozpočtu Evropské unie bez společné zemědělské politiky celkem</t>
  </si>
  <si>
    <t>Vypracovala: Landsingerová, tel. 974 849 237</t>
  </si>
  <si>
    <t>Kontrolovala: Ing. Horáková, tel. 974 849 802</t>
  </si>
  <si>
    <t>Datum: 17. února 2016</t>
  </si>
  <si>
    <t>*/ vč. čerpání nároků z nespotřebovaných výdajů ve výši 86,91 tis. Kč.</t>
  </si>
  <si>
    <t>*/</t>
  </si>
  <si>
    <t xml:space="preserve">Běžné výdaje organizačních složek státu celkem </t>
  </si>
  <si>
    <t>Neinvestiční transfery a půjčené prostředky (návratné finanční výpomoci) krajům a obcím celkem */</t>
  </si>
  <si>
    <r>
      <t xml:space="preserve">Specifické ukazatele - </t>
    </r>
    <r>
      <rPr>
        <b/>
        <sz val="10"/>
        <rFont val="Arial"/>
        <family val="2"/>
        <charset val="238"/>
      </rPr>
      <t>příjmy</t>
    </r>
  </si>
  <si>
    <r>
      <t xml:space="preserve">Specifické ukazatele - </t>
    </r>
    <r>
      <rPr>
        <b/>
        <sz val="10"/>
        <rFont val="Arial"/>
        <family val="2"/>
        <charset val="238"/>
      </rPr>
      <t>výdaje</t>
    </r>
  </si>
  <si>
    <r>
      <t xml:space="preserve">Bilance příjmů a výdajů státního rozpočtu
 </t>
    </r>
    <r>
      <rPr>
        <b/>
        <sz val="11"/>
        <rFont val="Arial CE"/>
        <family val="2"/>
        <charset val="238"/>
      </rPr>
      <t>v druhovém členění rozpočtové skladby</t>
    </r>
  </si>
  <si>
    <t>%</t>
  </si>
  <si>
    <t>Index</t>
  </si>
  <si>
    <t>U K A Z A T E L</t>
  </si>
  <si>
    <t>Schválený</t>
  </si>
  <si>
    <t>Rozpočet</t>
  </si>
  <si>
    <t>plnění</t>
  </si>
  <si>
    <t xml:space="preserve"> rozpočet</t>
  </si>
  <si>
    <t>3:2</t>
  </si>
  <si>
    <t>3:0</t>
  </si>
  <si>
    <t xml:space="preserve"> P Ř Í J M Y</t>
  </si>
  <si>
    <t xml:space="preserve"> Daně z příjmů fyzických osob</t>
  </si>
  <si>
    <t xml:space="preserve">    v tom: Daň z příjmů fyzických osob 
              ze závislé činnosti a funkčních požitků</t>
  </si>
  <si>
    <t xml:space="preserve">               Daň z příjmů fyzických osob 
               ze samostatně výdělečné činnosti</t>
  </si>
  <si>
    <t xml:space="preserve">               Daň z příjmů fyzických osob
               z kapitálových výnosů</t>
  </si>
  <si>
    <t xml:space="preserve"> Daně z příjmů právnických osob</t>
  </si>
  <si>
    <t xml:space="preserve"> Daně z příjmů, zisku a kapitálových výnosů</t>
  </si>
  <si>
    <t xml:space="preserve"> Obecné daně ze zboží a služeb v tuzemsku </t>
  </si>
  <si>
    <t xml:space="preserve">     v tom: Daň z přidané hodnoty  </t>
  </si>
  <si>
    <t xml:space="preserve"> Zvláštní daně a poplatky ze zboží a služeb v tuzemsku </t>
  </si>
  <si>
    <t xml:space="preserve"> Daně ze zboží a služeb v tuzemsku </t>
  </si>
  <si>
    <t xml:space="preserve"> Daně a poplatky z provozu motorových vozidel</t>
  </si>
  <si>
    <t xml:space="preserve"> Poplatky a odvody v oblasti životního prostředí</t>
  </si>
  <si>
    <t xml:space="preserve"> Místní poplatky z vybraných činností a služeb </t>
  </si>
  <si>
    <t xml:space="preserve"> Ostatní odvody z vybraných činností a služeb </t>
  </si>
  <si>
    <t xml:space="preserve"> Správní poplatky </t>
  </si>
  <si>
    <t>Poplatky na činnost správních úřadů</t>
  </si>
  <si>
    <t xml:space="preserve"> Daně a poplatky z vybraných činností a služeb </t>
  </si>
  <si>
    <t xml:space="preserve"> Daně a cla za zboží a služby ze zahraničí </t>
  </si>
  <si>
    <t xml:space="preserve">    v tom: Clo</t>
  </si>
  <si>
    <t xml:space="preserve">               Podíl na vybraných clech</t>
  </si>
  <si>
    <t xml:space="preserve"> Daně z majetku</t>
  </si>
  <si>
    <t xml:space="preserve"> Daně z majetkových a kapitálových převodů</t>
  </si>
  <si>
    <t xml:space="preserve">    v tom:  Daň dědická, darovací a z převodu nemovitostí</t>
  </si>
  <si>
    <t xml:space="preserve"> Majetkové daně</t>
  </si>
  <si>
    <t xml:space="preserve"> Pojistné na sociální zabezpečení 
 a příspěvek na státní politiku zaměstnanosti  *) </t>
  </si>
  <si>
    <t xml:space="preserve">         z toho: Pojistné na důchodové pojištění 
                     (z PSP 161 a 162)</t>
  </si>
  <si>
    <t xml:space="preserve"> Pojistné na veřejné zdravotní pojištění </t>
  </si>
  <si>
    <t xml:space="preserve"> Pojistné na úrazové pojištění</t>
  </si>
  <si>
    <t xml:space="preserve"> Zrušené daně z objemu mezd </t>
  </si>
  <si>
    <t>Povinné pojistné</t>
  </si>
  <si>
    <t xml:space="preserve"> Ostatní daňové příjmy</t>
  </si>
  <si>
    <r>
      <t xml:space="preserve"> DAŇOVÉ PŘÍJMY CELKEM</t>
    </r>
    <r>
      <rPr>
        <b/>
        <sz val="9"/>
        <rFont val="Arial CE"/>
        <family val="2"/>
        <charset val="238"/>
      </rPr>
      <t xml:space="preserve">
 </t>
    </r>
    <r>
      <rPr>
        <sz val="9"/>
        <rFont val="Arial CE"/>
        <family val="2"/>
        <charset val="238"/>
      </rPr>
      <t xml:space="preserve">(daně, poplatky, pojistné) </t>
    </r>
  </si>
  <si>
    <r>
      <t xml:space="preserve"> </t>
    </r>
    <r>
      <rPr>
        <sz val="9"/>
        <rFont val="Arial CE"/>
        <family val="2"/>
        <charset val="238"/>
      </rPr>
      <t xml:space="preserve">Z daňových příjmů celkem: </t>
    </r>
    <r>
      <rPr>
        <b/>
        <sz val="9"/>
        <rFont val="Arial CE"/>
        <family val="2"/>
        <charset val="238"/>
      </rPr>
      <t xml:space="preserve">
 příjmy z daní a poplatků </t>
    </r>
  </si>
  <si>
    <t xml:space="preserve"> Příjmy z vlastní činnosti</t>
  </si>
  <si>
    <t xml:space="preserve"> Odvody přebytků organizací s přímým vztahem</t>
  </si>
  <si>
    <t xml:space="preserve">    z toho: Odvody příspěvkových organizací</t>
  </si>
  <si>
    <t xml:space="preserve">                Ostatní odvody příspěvkových organizací</t>
  </si>
  <si>
    <t xml:space="preserve"> Příjmy z pronájmu majetku</t>
  </si>
  <si>
    <t>Výnosy z finančního majetku</t>
  </si>
  <si>
    <t xml:space="preserve"> Soudní poplatky </t>
  </si>
  <si>
    <t xml:space="preserve"> Příjmy z vlastní činnosti a odvody přebytků
 organizací s přímým vztahem</t>
  </si>
  <si>
    <t xml:space="preserve"> Přijaté sankční platby </t>
  </si>
  <si>
    <t xml:space="preserve"> Přijaté vratky transferů a ostatní příjmy 
 z finančního vypořádání předchozích let</t>
  </si>
  <si>
    <t xml:space="preserve"> Přijaté sankční platby a vratky transferů</t>
  </si>
  <si>
    <t xml:space="preserve"> Příjmy z prodeje krátkodobého a drobného 
 dlouhodobého majetku </t>
  </si>
  <si>
    <t xml:space="preserve"> Ostatní nedaňové příjmy (PSP 233 zrušeno) </t>
  </si>
  <si>
    <t xml:space="preserve"> Příjmy z využívání výhradních práv k přírodním zdrojům </t>
  </si>
  <si>
    <t xml:space="preserve"> Příjmy za využívání dalších majetkových práv</t>
  </si>
  <si>
    <t xml:space="preserve"> Dobrovolné pojistné </t>
  </si>
  <si>
    <t xml:space="preserve"> Příjmy z prodeje nekapitálového majetku
 a ostatní nedaňové příjmy</t>
  </si>
  <si>
    <t xml:space="preserve"> Splátky půjčených prostředků od podnikatelských subjektů </t>
  </si>
  <si>
    <t xml:space="preserve"> Splátky půjčených prostředků od obecně prospěšných
 společností a podobných subjektů</t>
  </si>
  <si>
    <r>
      <t xml:space="preserve"> Splátky půjčených prostředků od veřejných rozpočtů 
 </t>
    </r>
    <r>
      <rPr>
        <b/>
        <sz val="8"/>
        <rFont val="Arial CE"/>
        <family val="2"/>
        <charset val="238"/>
      </rPr>
      <t>ústřední úrovně</t>
    </r>
  </si>
  <si>
    <r>
      <t xml:space="preserve"> Splátky půjčených prostředků od veřejných rozpočtů 
 </t>
    </r>
    <r>
      <rPr>
        <b/>
        <sz val="8"/>
        <rFont val="Arial CE"/>
        <family val="2"/>
        <charset val="238"/>
      </rPr>
      <t>územní úrovně</t>
    </r>
    <r>
      <rPr>
        <sz val="8"/>
        <rFont val="Arial CE"/>
        <family val="2"/>
        <charset val="238"/>
      </rPr>
      <t xml:space="preserve"> </t>
    </r>
  </si>
  <si>
    <t xml:space="preserve"> Splátky půjčených prostředků od zřízených
 a podobných subjektů</t>
  </si>
  <si>
    <t xml:space="preserve"> Splátky půjčených prostředků od obyvatelstva </t>
  </si>
  <si>
    <t xml:space="preserve"> Splátky půjčených prostředků ze zahraničí</t>
  </si>
  <si>
    <t xml:space="preserve"> Splátky za úhradu dluhů nebo dodávek </t>
  </si>
  <si>
    <t xml:space="preserve"> Přijaté splátky půjčených prostředků  </t>
  </si>
  <si>
    <t xml:space="preserve"> Příjmy sdílené s Evropskou unií</t>
  </si>
  <si>
    <t xml:space="preserve"> Příjmy sdílené s nadnárodním orgánem</t>
  </si>
  <si>
    <t xml:space="preserve"> NEDAŇOVÉ PŘÍJMY CELKEM</t>
  </si>
  <si>
    <r>
      <t xml:space="preserve"> Příjmy z prodeje dlouhodobého majetku (kromě drobného)  </t>
    </r>
    <r>
      <rPr>
        <sz val="8"/>
        <color indexed="11"/>
        <rFont val="Arial CE"/>
        <family val="2"/>
        <charset val="238"/>
      </rPr>
      <t xml:space="preserve">  </t>
    </r>
  </si>
  <si>
    <r>
      <t xml:space="preserve"> Ostatní kapitálové příjmy  </t>
    </r>
    <r>
      <rPr>
        <sz val="8"/>
        <color indexed="11"/>
        <rFont val="Arial CE"/>
        <family val="2"/>
        <charset val="238"/>
      </rPr>
      <t xml:space="preserve">  </t>
    </r>
  </si>
  <si>
    <t xml:space="preserve"> Příjmy z prodeje dlouhodobého majetku 
  a ostatní kapitálové příjmy  </t>
  </si>
  <si>
    <t xml:space="preserve"> Příjmy z prodeje dlouhodobého finančního majetku</t>
  </si>
  <si>
    <t xml:space="preserve"> KAPITÁLOVÉ PŘÍJMY CELKEM</t>
  </si>
  <si>
    <t xml:space="preserve"> Neinvestiční přijaté transfery od veřejných rozpočtů ústř. úrovně</t>
  </si>
  <si>
    <t xml:space="preserve">   z toho: Neinvestiční převody z Národního fondu</t>
  </si>
  <si>
    <t xml:space="preserve"> Neinvestiční přijaté transfery od veřejných rozpočtů 
 územní úrovně </t>
  </si>
  <si>
    <t xml:space="preserve"> Převody z vlastních fondů</t>
  </si>
  <si>
    <t xml:space="preserve"> Neinvestiční přijaté transfery ze zahraničí</t>
  </si>
  <si>
    <t xml:space="preserve">   z toho: Neinvestiční transfery přijaté od Evropské unie</t>
  </si>
  <si>
    <t xml:space="preserve"> Neinvestiční přijaté transfery ze státních finančních aktiv  </t>
  </si>
  <si>
    <t xml:space="preserve"> Neinvestiční přijaté transfery   </t>
  </si>
  <si>
    <t xml:space="preserve"> Investiční přijaté transfery od veřejných rozpočtů ústřední úrovně </t>
  </si>
  <si>
    <t xml:space="preserve">   z toho: Investiční převody z Národního fondu</t>
  </si>
  <si>
    <t xml:space="preserve"> Investiční přijaté transfery od veřejných rozpočtů územní úrovně </t>
  </si>
  <si>
    <t xml:space="preserve"> Investiční přijaté transfery ze zahraničí</t>
  </si>
  <si>
    <t xml:space="preserve">  z toho: Investiční transfery přijaté od Evropské unie</t>
  </si>
  <si>
    <t xml:space="preserve"> Investiční přijaté transfery ze státních finančních aktiv </t>
  </si>
  <si>
    <t xml:space="preserve"> Investiční přijaté transfery  </t>
  </si>
  <si>
    <t xml:space="preserve">  PŘIJATÉ TRANSFERY CELKEM</t>
  </si>
  <si>
    <t xml:space="preserve"> Kontrolní součet (seskupení položek)</t>
  </si>
  <si>
    <t>V Ý D A J E</t>
  </si>
  <si>
    <t xml:space="preserve"> Platy    </t>
  </si>
  <si>
    <r>
      <t xml:space="preserve">       v tom: Platy zaměstnanců v pracovním
                  poměru </t>
    </r>
    <r>
      <rPr>
        <vertAlign val="superscript"/>
        <sz val="8"/>
        <rFont val="Arial CE"/>
        <family val="2"/>
        <charset val="238"/>
      </rPr>
      <t/>
    </r>
  </si>
  <si>
    <t xml:space="preserve">                  Platy zaměstnanců ozbrojených 
                  sborů a složek ve služebním poměru </t>
  </si>
  <si>
    <t xml:space="preserve">                  Platy státních zaměstnanců 
                  ve správních úřadech</t>
  </si>
  <si>
    <t xml:space="preserve">                  Platy zaměstnanců v pracovním 
                  poměru odvozované od platů 
                  ústavních činitelů</t>
  </si>
  <si>
    <t xml:space="preserve">                  Ostatní platy</t>
  </si>
  <si>
    <t xml:space="preserve"> Ostatní platby za provedenou práci </t>
  </si>
  <si>
    <t xml:space="preserve">        v tom: Ostatní osobní výdaje</t>
  </si>
  <si>
    <t xml:space="preserve">                   Platy představitelů státní moci 
                   a některých orgánů</t>
  </si>
  <si>
    <t xml:space="preserve">                   Odměny členů zastupitelstev obcí a krajů</t>
  </si>
  <si>
    <t xml:space="preserve">                   Odstupné</t>
  </si>
  <si>
    <t xml:space="preserve">                   Odbytné</t>
  </si>
  <si>
    <t xml:space="preserve">                   Odchodné </t>
  </si>
  <si>
    <t xml:space="preserve">                   Náležitosti osob vykonávajících 
                   vojenská cvičení a další vojenskou 
                   službu </t>
  </si>
  <si>
    <t xml:space="preserve">                   Ostatní platby za provedenou práci
                   jinde nezařazené  </t>
  </si>
  <si>
    <r>
      <t xml:space="preserve"> Povinné pojistné placené zaměstnavatelem</t>
    </r>
    <r>
      <rPr>
        <vertAlign val="superscript"/>
        <sz val="8"/>
        <rFont val="Arial CE"/>
        <family val="2"/>
        <charset val="238"/>
      </rPr>
      <t xml:space="preserve"> 4)  </t>
    </r>
    <r>
      <rPr>
        <sz val="8"/>
        <rFont val="Arial CE"/>
        <family val="2"/>
        <charset val="238"/>
      </rPr>
      <t xml:space="preserve"> </t>
    </r>
  </si>
  <si>
    <t xml:space="preserve">   z toho: Pojistné na SZ, přísp. na politiku zaměstnanosti, 
              veřejné zdravotní pojištění a ostatní povinné 
              pojistné placené zaměstnavatelem   </t>
  </si>
  <si>
    <t xml:space="preserve"> Odměny za užití duševního vlastnictví</t>
  </si>
  <si>
    <t xml:space="preserve"> Mzdové náhrady</t>
  </si>
  <si>
    <t xml:space="preserve"> Výdaje na platy, ostatní platby za provedenou 
  práci a pojistné   </t>
  </si>
  <si>
    <t xml:space="preserve"> Nákup materiálu </t>
  </si>
  <si>
    <t xml:space="preserve"> Úroky a ostatní finanční výdaje</t>
  </si>
  <si>
    <t xml:space="preserve"> Nákup vody, paliv a energie</t>
  </si>
  <si>
    <t xml:space="preserve"> Nákup služeb</t>
  </si>
  <si>
    <t xml:space="preserve"> Ostatní nákupy</t>
  </si>
  <si>
    <t xml:space="preserve">    z toho: Opravy a udržování</t>
  </si>
  <si>
    <t xml:space="preserve">                 Cestovné (tuzemské i zahraniční)</t>
  </si>
  <si>
    <t xml:space="preserve"> Poskytnuté zálohy, jistiny, záruky a vládní úvěry    </t>
  </si>
  <si>
    <t xml:space="preserve"> Výdaje související s neinvestičními nákupy, příspěvky, 
 náhrady a věcné dary</t>
  </si>
  <si>
    <t xml:space="preserve"> Neinvestiční nákupy a související výdaje</t>
  </si>
  <si>
    <t xml:space="preserve"> Neinvestiční transfery podnikatelským subjektům </t>
  </si>
  <si>
    <t xml:space="preserve"> Neinvestiční transfery neziskovým a pod.organizacím </t>
  </si>
  <si>
    <t xml:space="preserve">        z toho:  Neinvestiční transfery občanským sdružením</t>
  </si>
  <si>
    <t xml:space="preserve">                     Ostatní neinvestiční transfery neziskovým 
                     a podobným organizacím   </t>
  </si>
  <si>
    <t xml:space="preserve">  Neinvestiční nedotační transfery
  podnikatelským subjektům </t>
  </si>
  <si>
    <t xml:space="preserve">  Neinvestiční nedotační transfery 
  neziskovým a pod. organizacím</t>
  </si>
  <si>
    <t xml:space="preserve">  Neinvestiční transfery v souvislosti s nemocenským pojištěním</t>
  </si>
  <si>
    <t xml:space="preserve">Neinvestiční transfery soukromoprávním subjektům </t>
  </si>
  <si>
    <r>
      <t xml:space="preserve"> Neinvestiční transfery veřejným rozpočtům
</t>
    </r>
    <r>
      <rPr>
        <b/>
        <sz val="8"/>
        <rFont val="Arial CE"/>
        <family val="2"/>
        <charset val="238"/>
      </rPr>
      <t xml:space="preserve"> ústřední úrovně</t>
    </r>
  </si>
  <si>
    <t xml:space="preserve">   z toho: Neinvestiční transfery státním fondům</t>
  </si>
  <si>
    <r>
      <t xml:space="preserve">                Neinvestiční transfery fondům sociálního
                a veřejného zdravotního pojištění  </t>
    </r>
    <r>
      <rPr>
        <sz val="8"/>
        <color indexed="11"/>
        <rFont val="Arial CE"/>
        <family val="2"/>
        <charset val="238"/>
      </rPr>
      <t xml:space="preserve"> </t>
    </r>
  </si>
  <si>
    <t xml:space="preserve">                Neinvestiční transfery prostředků 
                do státních finančních aktiv  </t>
  </si>
  <si>
    <r>
      <t xml:space="preserve"> Neinvestiční transfery veřejným rozpočtům
 </t>
    </r>
    <r>
      <rPr>
        <b/>
        <sz val="8"/>
        <rFont val="Arial CE"/>
        <family val="2"/>
        <charset val="238"/>
      </rPr>
      <t>územní úrovně</t>
    </r>
  </si>
  <si>
    <t xml:space="preserve">     v tom: Neinvestiční transfery obcím</t>
  </si>
  <si>
    <t xml:space="preserve">                Neinvestiční transfery obcím v rámci  
                souhrnného dotačního vztahu</t>
  </si>
  <si>
    <t xml:space="preserve">                Neinvestiční transfery krajům</t>
  </si>
  <si>
    <t xml:space="preserve">                Neinvestiční transfery krajům v rámci 
                souhrnného dotačního vztahu</t>
  </si>
  <si>
    <t xml:space="preserve">               Neinvestiční transfery regionálním radám</t>
  </si>
  <si>
    <t xml:space="preserve">                Ostatní neinvestiční transfery veřejným 
                rozpočtům územní úrovně </t>
  </si>
  <si>
    <r>
      <t xml:space="preserve"> Neinvestiční transfery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family val="2"/>
        <charset val="238"/>
      </rPr>
      <t>příspěvkovým</t>
    </r>
    <r>
      <rPr>
        <b/>
        <sz val="8"/>
        <rFont val="Arial CE"/>
        <family val="2"/>
        <charset val="238"/>
      </rPr>
      <t xml:space="preserve">
</t>
    </r>
    <r>
      <rPr>
        <sz val="8"/>
        <rFont val="Arial CE"/>
        <family val="2"/>
        <charset val="238"/>
      </rPr>
      <t xml:space="preserve"> a podobným organizacím</t>
    </r>
  </si>
  <si>
    <t xml:space="preserve"> Převody vlastním fondům</t>
  </si>
  <si>
    <t xml:space="preserve">   z toho:  Převody fondu kulturních a sociálních potřeb
                a sociálnímu fondu obcí a krajů   </t>
  </si>
  <si>
    <t xml:space="preserve">                Převody do fondů organizačních složek státu</t>
  </si>
  <si>
    <t xml:space="preserve"> Ostatní neinvestiční transfery jiným veřejným rozpočtům</t>
  </si>
  <si>
    <t xml:space="preserve"> Neinvestiční transfery veřejnoprávním subjektům a
 mezi peněžními fondy téhož subjektu</t>
  </si>
  <si>
    <t xml:space="preserve"> Sociální dávky</t>
  </si>
  <si>
    <t xml:space="preserve"> Náhrady placené obyvatelstvu </t>
  </si>
  <si>
    <t xml:space="preserve"> Ostatní neinvestiční transfery obyvatelstvu</t>
  </si>
  <si>
    <t xml:space="preserve"> Neinvestiční transfery obyvatelstvu</t>
  </si>
  <si>
    <t xml:space="preserve"> Neinvestiční transfery mezinárodním organizacím 
  a nadnárodním orgánům</t>
  </si>
  <si>
    <t xml:space="preserve">     z toho: Odvody vlastních zdrojů Evropských 
                 společenství do rozpočtu Evropské 
                 unie podle daně z přidané hodnoty</t>
  </si>
  <si>
    <t xml:space="preserve">                 Odvody vlastních zdrojů Evropských 
                 společenství do rozpočtu Evropské
                 unie podle hrubého národního důchodu</t>
  </si>
  <si>
    <t xml:space="preserve"> Neinvestiční transfery cizím státům   </t>
  </si>
  <si>
    <t xml:space="preserve"> Ostatní neinvestiční transfery do zahraničí</t>
  </si>
  <si>
    <t xml:space="preserve"> Neinvestiční transfery do zahraničí</t>
  </si>
  <si>
    <r>
      <t xml:space="preserve"> Neinvestiční půjčené prostředky
 </t>
    </r>
    <r>
      <rPr>
        <b/>
        <sz val="8"/>
        <rFont val="Arial CE"/>
        <family val="2"/>
        <charset val="238"/>
      </rPr>
      <t xml:space="preserve">podnikatelským subjektům </t>
    </r>
    <r>
      <rPr>
        <sz val="8"/>
        <rFont val="Arial CE"/>
        <family val="2"/>
        <charset val="238"/>
      </rPr>
      <t xml:space="preserve"> </t>
    </r>
  </si>
  <si>
    <r>
      <t xml:space="preserve"> Neinvestiční půjčené prostředky  
 </t>
    </r>
    <r>
      <rPr>
        <b/>
        <sz val="8"/>
        <rFont val="Arial CE"/>
        <family val="2"/>
        <charset val="238"/>
      </rPr>
      <t>neziskovým a podobným organizacím</t>
    </r>
    <r>
      <rPr>
        <sz val="8"/>
        <rFont val="Arial CE"/>
        <family val="2"/>
        <charset val="238"/>
      </rPr>
      <t xml:space="preserve">   </t>
    </r>
  </si>
  <si>
    <r>
      <t xml:space="preserve"> Neinvestiční půjčené prostředky 
 </t>
    </r>
    <r>
      <rPr>
        <b/>
        <sz val="8"/>
        <rFont val="Arial CE"/>
        <family val="2"/>
        <charset val="238"/>
      </rPr>
      <t xml:space="preserve">veřejným rozpočtům ústřední úrovně  </t>
    </r>
  </si>
  <si>
    <r>
      <t xml:space="preserve"> Neinvestiční půjčené prostředky  
 </t>
    </r>
    <r>
      <rPr>
        <b/>
        <sz val="8"/>
        <rFont val="Arial CE"/>
        <family val="2"/>
        <charset val="238"/>
      </rPr>
      <t xml:space="preserve">veřejným rozpočtům územní úrovně </t>
    </r>
    <r>
      <rPr>
        <sz val="8"/>
        <rFont val="Arial CE"/>
        <family val="2"/>
        <charset val="238"/>
      </rPr>
      <t xml:space="preserve">  </t>
    </r>
  </si>
  <si>
    <r>
      <t xml:space="preserve"> Neinvestiční půjčené prostředky 
 </t>
    </r>
    <r>
      <rPr>
        <b/>
        <sz val="8"/>
        <rFont val="Arial CE"/>
        <family val="2"/>
        <charset val="238"/>
      </rPr>
      <t xml:space="preserve">příspěvkovým a pod. organizacím  </t>
    </r>
  </si>
  <si>
    <r>
      <t xml:space="preserve"> Neinvestiční půjčené prostředky </t>
    </r>
    <r>
      <rPr>
        <b/>
        <sz val="8"/>
        <rFont val="Arial CE"/>
        <family val="2"/>
        <charset val="238"/>
      </rPr>
      <t>obyvatelstvu</t>
    </r>
    <r>
      <rPr>
        <sz val="8"/>
        <rFont val="Arial CE"/>
        <family val="2"/>
        <charset val="238"/>
      </rPr>
      <t xml:space="preserve">  </t>
    </r>
  </si>
  <si>
    <r>
      <t xml:space="preserve"> Neinvestiční půjčené prostředky </t>
    </r>
    <r>
      <rPr>
        <b/>
        <sz val="8"/>
        <rFont val="Arial CE"/>
        <family val="2"/>
        <charset val="238"/>
      </rPr>
      <t xml:space="preserve">do zahraničí  </t>
    </r>
  </si>
  <si>
    <t xml:space="preserve"> Neinvestiční půjčené prostředky </t>
  </si>
  <si>
    <r>
      <t xml:space="preserve"> Převody Národnímu fondu na spolufinancování
 </t>
    </r>
    <r>
      <rPr>
        <b/>
        <sz val="8"/>
        <rFont val="Arial CE"/>
        <family val="2"/>
        <charset val="238"/>
      </rPr>
      <t>programu PHARE</t>
    </r>
    <r>
      <rPr>
        <sz val="8"/>
        <rFont val="Arial CE"/>
        <family val="2"/>
        <charset val="238"/>
      </rPr>
      <t xml:space="preserve"> </t>
    </r>
  </si>
  <si>
    <r>
      <t xml:space="preserve"> Převody Národnímu fondu na spolufinancování 
 </t>
    </r>
    <r>
      <rPr>
        <b/>
        <sz val="8"/>
        <rFont val="Arial CE"/>
        <family val="2"/>
        <charset val="238"/>
      </rPr>
      <t xml:space="preserve">programu ISPA   </t>
    </r>
  </si>
  <si>
    <r>
      <t xml:space="preserve"> Převody Národnímu fondu na spolufinancování 
 </t>
    </r>
    <r>
      <rPr>
        <b/>
        <sz val="8"/>
        <rFont val="Arial CE"/>
        <family val="2"/>
        <charset val="238"/>
      </rPr>
      <t xml:space="preserve">programu SAPARD </t>
    </r>
  </si>
  <si>
    <r>
      <t xml:space="preserve"> Převody Národnímu fondu na spolufinancování 
 </t>
    </r>
    <r>
      <rPr>
        <b/>
        <sz val="8"/>
        <rFont val="Arial CE"/>
        <family val="2"/>
        <charset val="238"/>
      </rPr>
      <t xml:space="preserve">komunitárních programů </t>
    </r>
  </si>
  <si>
    <t xml:space="preserve"> Převody Národnímu fondu na spolufinancování 
 ostatních programů Evropských společenství a ČR  </t>
  </si>
  <si>
    <t xml:space="preserve"> Převody Národnímu fondu na spolufinancování 
 související s poskytnutím pomoci ČR ze zahraničí  </t>
  </si>
  <si>
    <t xml:space="preserve"> Převody ze státního rozpočtu do Národního fondu 
  na vyrovnání kurzových rozdílů   </t>
  </si>
  <si>
    <t xml:space="preserve"> Ostatní převody do Národního fondu  </t>
  </si>
  <si>
    <t xml:space="preserve"> Neinvestiční převody Národnímu fondu   </t>
  </si>
  <si>
    <t xml:space="preserve"> Ostatní neinvestiční výdaje</t>
  </si>
  <si>
    <t xml:space="preserve"> BĚŽNÉ VÝDAJE CELKEM</t>
  </si>
  <si>
    <t xml:space="preserve"> Pořízení dlouhodobého nehmotného majetku </t>
  </si>
  <si>
    <t xml:space="preserve"> Pořízení dlouhodobého hmotného majetku   </t>
  </si>
  <si>
    <t xml:space="preserve"> Pozemky </t>
  </si>
  <si>
    <t xml:space="preserve"> Investiční nákupy a související výdaje</t>
  </si>
  <si>
    <t xml:space="preserve"> Nákup akcií a majetkových podílů</t>
  </si>
  <si>
    <t xml:space="preserve"> Investiční transfery podnikatelským subjektům </t>
  </si>
  <si>
    <t xml:space="preserve"> Investiční transfery neziskovým a pod. organizacím</t>
  </si>
  <si>
    <r>
      <t xml:space="preserve"> Investiční transfery veřejným rozpočtům 
</t>
    </r>
    <r>
      <rPr>
        <b/>
        <sz val="8"/>
        <rFont val="Arial CE"/>
        <family val="2"/>
        <charset val="238"/>
      </rPr>
      <t xml:space="preserve"> ústřední úrovně  </t>
    </r>
    <r>
      <rPr>
        <b/>
        <sz val="8"/>
        <color indexed="11"/>
        <rFont val="Arial CE"/>
        <family val="2"/>
        <charset val="238"/>
      </rPr>
      <t xml:space="preserve"> </t>
    </r>
  </si>
  <si>
    <t xml:space="preserve">    z toho: Investiční transfery státním finančním aktivům</t>
  </si>
  <si>
    <r>
      <t xml:space="preserve"> Investiční transfery veřejným rozpočtům
 </t>
    </r>
    <r>
      <rPr>
        <b/>
        <sz val="8"/>
        <rFont val="Arial CE"/>
        <family val="2"/>
        <charset val="238"/>
      </rPr>
      <t>územní úrovně</t>
    </r>
  </si>
  <si>
    <t xml:space="preserve">   v tom: Investiční transfery obcím</t>
  </si>
  <si>
    <t xml:space="preserve">              Investiční transfery krajům</t>
  </si>
  <si>
    <t xml:space="preserve">              Investiční transfery obcím v rámci 
              souhrnného dotačního vztahu</t>
  </si>
  <si>
    <t xml:space="preserve">              Investiční transfery krajům v rámci 
              souhrnného dotačního vztahu</t>
  </si>
  <si>
    <t xml:space="preserve">              Investiční transfery regionálním radám</t>
  </si>
  <si>
    <t xml:space="preserve">              Ostatní investiční transfery veřejným 
              rozpočtům územní úrovně   </t>
  </si>
  <si>
    <t>Investiční transfery příspěvkovým a podobným organizacím</t>
  </si>
  <si>
    <t xml:space="preserve"> Investiční převody vlastním fondům  </t>
  </si>
  <si>
    <t xml:space="preserve"> Investiční transfery obyvatelstvu</t>
  </si>
  <si>
    <t xml:space="preserve"> Investiční transfery do zahraniční</t>
  </si>
  <si>
    <t xml:space="preserve"> Investiční transfery</t>
  </si>
  <si>
    <t xml:space="preserve"> Investiční půjčené prostředky podnikatelským subjektům   </t>
  </si>
  <si>
    <t xml:space="preserve"> Investiční půjčené prostředky neziskovým 
 a podobným organizacím   </t>
  </si>
  <si>
    <r>
      <t xml:space="preserve"> Investiční půjčené prostředky veřejným rozpočtům 
 </t>
    </r>
    <r>
      <rPr>
        <b/>
        <sz val="8"/>
        <rFont val="Arial CE"/>
        <family val="2"/>
        <charset val="238"/>
      </rPr>
      <t>ústřední úrovně</t>
    </r>
    <r>
      <rPr>
        <sz val="8"/>
        <rFont val="Arial CE"/>
        <family val="2"/>
        <charset val="238"/>
      </rPr>
      <t xml:space="preserve">  </t>
    </r>
  </si>
  <si>
    <r>
      <t xml:space="preserve"> Investiční půjčené prostředky veřejným rozpočtům 
 </t>
    </r>
    <r>
      <rPr>
        <b/>
        <sz val="8"/>
        <rFont val="Arial CE"/>
        <family val="2"/>
        <charset val="238"/>
      </rPr>
      <t>územní úrovně</t>
    </r>
    <r>
      <rPr>
        <sz val="8"/>
        <rFont val="Arial CE"/>
        <family val="2"/>
        <charset val="238"/>
      </rPr>
      <t xml:space="preserve"> </t>
    </r>
  </si>
  <si>
    <t xml:space="preserve"> Investiční půjčené prostředky příspěvkovým  
 a podobným organizacím   </t>
  </si>
  <si>
    <t xml:space="preserve"> Investiční půjčené prostředky obyvatelstvu   </t>
  </si>
  <si>
    <t xml:space="preserve"> Investiční půjčené prostředky do zahraničí  </t>
  </si>
  <si>
    <t xml:space="preserve"> Investiční půjčené prostředky </t>
  </si>
  <si>
    <r>
      <t xml:space="preserve"> Investiční převody Národnímu fondu na spolufinancování  
 </t>
    </r>
    <r>
      <rPr>
        <b/>
        <sz val="8"/>
        <rFont val="Arial CE"/>
        <family val="2"/>
        <charset val="238"/>
      </rPr>
      <t>programu PHARE</t>
    </r>
  </si>
  <si>
    <r>
      <t xml:space="preserve"> Investiční převody Národnímu fondu na spolufinancování 
 </t>
    </r>
    <r>
      <rPr>
        <b/>
        <sz val="8"/>
        <rFont val="Arial CE"/>
        <family val="2"/>
        <charset val="238"/>
      </rPr>
      <t xml:space="preserve">programu ISPA </t>
    </r>
  </si>
  <si>
    <r>
      <t xml:space="preserve"> Investiční převody Národnímu fondu na spolufinancování 
 </t>
    </r>
    <r>
      <rPr>
        <b/>
        <sz val="8"/>
        <rFont val="Arial CE"/>
        <family val="2"/>
        <charset val="238"/>
      </rPr>
      <t>programu SAPARD</t>
    </r>
  </si>
  <si>
    <r>
      <t xml:space="preserve"> Investiční převody Národnímu fondu na spolufinancování 
 </t>
    </r>
    <r>
      <rPr>
        <b/>
        <sz val="8"/>
        <rFont val="Arial CE"/>
        <family val="2"/>
        <charset val="238"/>
      </rPr>
      <t>komunitárních programů</t>
    </r>
    <r>
      <rPr>
        <sz val="8"/>
        <rFont val="Arial CE"/>
        <family val="2"/>
        <charset val="238"/>
      </rPr>
      <t xml:space="preserve">  </t>
    </r>
  </si>
  <si>
    <t xml:space="preserve"> Investiční převody Národnímu fondu na spolufinancování 
 ostatních programů Evropských společenství a ČR   </t>
  </si>
  <si>
    <t xml:space="preserve"> Investiční převody Národnímu fondu na spolufinancování 
 související s poskytnutím pomoci ČR ze zahraničí  </t>
  </si>
  <si>
    <t xml:space="preserve"> Ostaní investiční převody do Národního fondu   </t>
  </si>
  <si>
    <t xml:space="preserve"> Investiční převody Národnímu fondu  </t>
  </si>
  <si>
    <t xml:space="preserve"> Ostatní kapitálové výdaje</t>
  </si>
  <si>
    <t xml:space="preserve"> KAPITÁLOVÉ VÝDAJE CELKEM</t>
  </si>
  <si>
    <t xml:space="preserve"> VÝDAJE STÁTNÍHO ROZPOČTU CELKEM</t>
  </si>
  <si>
    <t xml:space="preserve">  Rozdíl příjmů a výdajů státního rozpočtu</t>
  </si>
  <si>
    <t xml:space="preserve"> FINANCOVÁNÍ</t>
  </si>
  <si>
    <t xml:space="preserve"> Krátkodobé vydané dluhopisy</t>
  </si>
  <si>
    <t>Uhrazené splátky krátkodobých vydaných dluhopisů</t>
  </si>
  <si>
    <t xml:space="preserve">Krátkodobé přijaté půjčené prostředky </t>
  </si>
  <si>
    <t>Uhrazené splátky krátkodobých přijatých půjčených prostředky</t>
  </si>
  <si>
    <t xml:space="preserve"> Změna stavu krátkodobých prostředků
 na bankovních účtech</t>
  </si>
  <si>
    <t>Změna stavu bankovních účtů krátkdobých prostředků státních finančních aktiv, které tvoří kapitolu OSFA</t>
  </si>
  <si>
    <t>Aktivní krátkodobé operace řízení likvidity - příjmy</t>
  </si>
  <si>
    <t xml:space="preserve">Aktivní krátkodobé operace řízení likvidity - výdaje </t>
  </si>
  <si>
    <t xml:space="preserve"> Krátkodobé financování   </t>
  </si>
  <si>
    <t xml:space="preserve"> 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</si>
  <si>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</si>
  <si>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</si>
  <si>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</si>
  <si>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</si>
  <si>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</si>
  <si>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</si>
  <si>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 xml:space="preserve"> Dlouhodobé financování   </t>
  </si>
  <si>
    <t xml:space="preserve"> Financování z tuzemska celkem</t>
  </si>
  <si>
    <t>Krátkodobé vydané dluhopisy</t>
  </si>
  <si>
    <t>Krátkodobé přijaté půjčené prostředky</t>
  </si>
  <si>
    <t xml:space="preserve">Uhrazené splátky krátkodobých přijatých půjčených prostředků </t>
  </si>
  <si>
    <t>Změna stavu bankovních účtů krátkdobých prostředků ze zahraničí jiných než ze zahraničních dlouhodobých úvěrů</t>
  </si>
  <si>
    <t>Změna stavu bankovních účtů krátkodobých prostředků z dlouhodobých úvěrů ze zahraničí</t>
  </si>
  <si>
    <t>Aktivní krátkodobé operace řízení likvidity - výdaje</t>
  </si>
  <si>
    <t>Dlouhodobé vydané dluhopisy</t>
  </si>
  <si>
    <t xml:space="preserve"> Dlouhodobé přijaté půjčené prostředky    </t>
  </si>
  <si>
    <t xml:space="preserve"> Dlouhodobé financování  </t>
  </si>
  <si>
    <t xml:space="preserve"> Financování ze zahraničí celkem   </t>
  </si>
  <si>
    <t>Pohyby na účtech pro financování nepatřící na jiné financující položky</t>
  </si>
  <si>
    <t>Převody ve vztahu k úvěrům od Evropské investiční banky</t>
  </si>
  <si>
    <t>Operace na bankovních účtech státních finančních aktiv, které tvoří kapitoly OSFA</t>
  </si>
  <si>
    <t xml:space="preserve"> Pohyby na účtech pro financování nepatřící na jiné financující položky</t>
  </si>
  <si>
    <t>Krátkodobé aktivní financování z jaderného a důchodového účtu - příjmy</t>
  </si>
  <si>
    <t>Krátkodobé aktivní financování z jaderného a důchodového účtu - výdaje</t>
  </si>
  <si>
    <t>Krátkodobé aktivní financování z jaderného a důchodového účtu</t>
  </si>
  <si>
    <t>Dlouhodobé aktivní financování z jaderného a důchodového účtu - příjmy</t>
  </si>
  <si>
    <t>Dlouhodobé aktivní financování z jaderného a důchodového účtu - výdaje</t>
  </si>
  <si>
    <t>Dluhodobé aktivní financování z jaderného a důchodového účtu</t>
  </si>
  <si>
    <t>Aktivní financování z jaderného a důchodového účtu</t>
  </si>
  <si>
    <t>Operace z peněžních účtů organizace nemající charakter příjmů a výdajů vládního sektoru</t>
  </si>
  <si>
    <t>Nerealizované kursové rozdíly pohybů na devizových účtech</t>
  </si>
  <si>
    <t>Nepřevedené částky vyrovnávající schodek</t>
  </si>
  <si>
    <t xml:space="preserve"> Opravné položky k peněžním operacím</t>
  </si>
  <si>
    <t xml:space="preserve"> FINANCOVÁNÍ CELKEM</t>
  </si>
  <si>
    <t xml:space="preserve"> Kontrola - rozdíl salda SR a financování</t>
  </si>
  <si>
    <t>*) Příjmy z pojistného na SZ a příspěvek na politiku zaměstnanosti se vykazují v podrobnějším členění položek</t>
  </si>
  <si>
    <t xml:space="preserve">    na PSP 161 a 162 rozp. skladby</t>
  </si>
  <si>
    <r>
      <t xml:space="preserve"> **) Poznámka:</t>
    </r>
    <r>
      <rPr>
        <sz val="10"/>
        <rFont val="Arial CE"/>
        <charset val="238"/>
      </rPr>
      <t xml:space="preserve"> Položky 1119, 1129, 1219, 1409 a 1529 (příjmy ze staré daňové soustavy) zahrnuty </t>
    </r>
  </si>
  <si>
    <t xml:space="preserve">                         v PSP 170 Ostatní daňové příjmy</t>
  </si>
  <si>
    <r>
      <t xml:space="preserve">                        </t>
    </r>
    <r>
      <rPr>
        <sz val="10"/>
        <rFont val="Arial CE"/>
        <family val="2"/>
        <charset val="238"/>
      </rPr>
      <t xml:space="preserve"> položky 1122 a 1123 jsou příjmem územních samosprávných celků</t>
    </r>
  </si>
  <si>
    <t>Přehled výdajů státního rozpočtu na podporu výzkumu, vývoje a inovací</t>
  </si>
  <si>
    <r>
      <t xml:space="preserve"> </t>
    </r>
    <r>
      <rPr>
        <b/>
        <sz val="11"/>
        <rFont val="Arial CE"/>
        <charset val="238"/>
      </rPr>
      <t>A. Přehled účelových výdajů na podporu výzkumu, vývoje a inovací v roce 2015</t>
    </r>
  </si>
  <si>
    <t xml:space="preserve"> z toho čerpáno</t>
  </si>
  <si>
    <t xml:space="preserve">z toho nároky </t>
  </si>
  <si>
    <t>řádek</t>
  </si>
  <si>
    <t>Organizace</t>
  </si>
  <si>
    <t>po změnách 2015</t>
  </si>
  <si>
    <t>z rezervního fondu</t>
  </si>
  <si>
    <t>z předchozích let</t>
  </si>
  <si>
    <t>běžné</t>
  </si>
  <si>
    <t>kapitálové</t>
  </si>
  <si>
    <t>výdaje</t>
  </si>
  <si>
    <t>1.</t>
  </si>
  <si>
    <t>Organizační složky státu</t>
  </si>
  <si>
    <t>2.</t>
  </si>
  <si>
    <t>Příspěvkové organizace</t>
  </si>
  <si>
    <t>3.</t>
  </si>
  <si>
    <t>OS a PO v působnosti ÚSC</t>
  </si>
  <si>
    <t>4.</t>
  </si>
  <si>
    <t>Vysoké školy</t>
  </si>
  <si>
    <t>5.</t>
  </si>
  <si>
    <t>Veřejné výzkumné instituce</t>
  </si>
  <si>
    <t>6.</t>
  </si>
  <si>
    <t>Podnikatelské subjekty</t>
  </si>
  <si>
    <t>7.</t>
  </si>
  <si>
    <t xml:space="preserve">Neziskové a podobné organizace </t>
  </si>
  <si>
    <t>8.</t>
  </si>
  <si>
    <t>Účelové výdaje celkem</t>
  </si>
  <si>
    <t>z toho:</t>
  </si>
  <si>
    <t>platy</t>
  </si>
  <si>
    <t>X</t>
  </si>
  <si>
    <t>OPPP</t>
  </si>
  <si>
    <t>povinné pojistné</t>
  </si>
  <si>
    <t>FKSP</t>
  </si>
  <si>
    <r>
      <t xml:space="preserve"> </t>
    </r>
    <r>
      <rPr>
        <b/>
        <sz val="11"/>
        <rFont val="Arial CE"/>
        <charset val="238"/>
      </rPr>
      <t>B. Přehled institucionálních výdajů na podporu výzkumu, vývoje a inovací v roce 2015</t>
    </r>
  </si>
  <si>
    <t xml:space="preserve">                                                                                         </t>
  </si>
  <si>
    <t>Institucionální výdaje celkem</t>
  </si>
  <si>
    <t xml:space="preserve">     C. Přehled výdajů na podporu výzkumu, vývoje a inovací na programy spolufinancované z prostředků ze zahraničních programů v roce 2015                </t>
  </si>
  <si>
    <t>výdaje na zahraniční programy celkem</t>
  </si>
  <si>
    <t>1.a.</t>
  </si>
  <si>
    <t>v tom:</t>
  </si>
  <si>
    <t>ze státního rozpočtu</t>
  </si>
  <si>
    <t>1.b.</t>
  </si>
  <si>
    <t xml:space="preserve">           kryté příjmy ze zahraničních programů</t>
  </si>
  <si>
    <t>1.1.</t>
  </si>
  <si>
    <t>výdaje na zahraniční programy celkem (EU)</t>
  </si>
  <si>
    <t>1.1.a.</t>
  </si>
  <si>
    <t>1.1.b.</t>
  </si>
  <si>
    <t xml:space="preserve">          kryté příjmy ze zahraničních programů</t>
  </si>
  <si>
    <t>1.2.</t>
  </si>
  <si>
    <r>
      <t>v</t>
    </r>
    <r>
      <rPr>
        <sz val="9"/>
        <rFont val="Arial CE"/>
        <charset val="238"/>
      </rPr>
      <t>ýdaje na zahraniční programy celkem (EHP Norsko)</t>
    </r>
  </si>
  <si>
    <t>1.2.a.</t>
  </si>
  <si>
    <t>1.2.b.</t>
  </si>
  <si>
    <r>
      <t xml:space="preserve">     </t>
    </r>
    <r>
      <rPr>
        <b/>
        <sz val="11"/>
        <rFont val="Arial CE"/>
        <charset val="238"/>
      </rPr>
      <t xml:space="preserve">D. Přehled výdajů na podporu výzkumu, vývoje a inovací celkem, včetně programů spolufinancovaných z prostředků zahraničních programů, v roce 2015             </t>
    </r>
  </si>
  <si>
    <t>výdaje na výzkum a vývoje celkem včetně zahraničních programů</t>
  </si>
  <si>
    <t>státní rozpočet (A.8.+ B.8.)</t>
  </si>
  <si>
    <t xml:space="preserve">kryté příjmy ze zahraničních programů ( = C.1.b.) </t>
  </si>
  <si>
    <t>E. Stav nároků z nespotřebovaných výdajů na podporu výzkumu, vývoje a inovací</t>
  </si>
  <si>
    <t>Nároky</t>
  </si>
  <si>
    <t>k 1.1.2015</t>
  </si>
  <si>
    <t>k 31.12.2015</t>
  </si>
  <si>
    <t>k 1.1.2016</t>
  </si>
  <si>
    <t xml:space="preserve">Účelové prostředky </t>
  </si>
  <si>
    <t>Institucionální prostředky</t>
  </si>
  <si>
    <t>2.1.</t>
  </si>
  <si>
    <t xml:space="preserve">        z toho spolufinancování</t>
  </si>
  <si>
    <t xml:space="preserve">kryté příjmy ze zahraničních programů </t>
  </si>
  <si>
    <t>1.+2.+3.</t>
  </si>
  <si>
    <t>Celkem</t>
  </si>
  <si>
    <t>Vysvětlivky k tabulkám A, B:</t>
  </si>
  <si>
    <t>řádek 1 a 2 : státní organizace</t>
  </si>
  <si>
    <t xml:space="preserve">řádek 3: organizační složky a příspěvkové organizace zřizované územními samosprávnými celky ve smyslu ust. § 23 zákona č. 250/2000 Sb. </t>
  </si>
  <si>
    <t>řádek 4: veřejné vysoké školy, vojenské a policejní vysoké školy, soukromé vysoké školy bez ohledu na právní formu (o tyto údaje budou nižší ostatní uvedené právní formy)</t>
  </si>
  <si>
    <t>řádek 5: zákon č. 341/2005 Sb., o veřejných výzkumných institucích</t>
  </si>
  <si>
    <t>řádek 7: podle podseskupení položek platné rozpočtové skladby</t>
  </si>
  <si>
    <t>Vysvětlivky k tabulce C:</t>
  </si>
  <si>
    <t>Jednotlivé kategorie zahraničních programů budou uvedeny jak je člení zákon o státním rozpočtu, lze přidat podřádky, např. 1.3., 1.4.</t>
  </si>
  <si>
    <t>Na řádcích "ze státního rozpočtu" bude uvedeno spolufinancování jednotlivých kategorií zahraničních programů zahrnuté v institucionálních výdajích.</t>
  </si>
  <si>
    <t>Na řádcích "kryté příjmy ze zahraničních programů" bude uvedena výše předfinancování  (i v tabulkách D. a E.)</t>
  </si>
  <si>
    <t>Vysvětlivky k tabulce E :</t>
  </si>
  <si>
    <t xml:space="preserve">V případě, že má kapitola více kategorií zahraničních programů, bude řádek 3 rozdělen podle nich. </t>
  </si>
  <si>
    <t>řádek 2.1. - bude uvedeno spolufinancování ze státního rozpočtu k zahraničním programům uvedeným na řádku 3.</t>
  </si>
  <si>
    <t>Údaje v přehledech  musí odpovídat příslušným údajům v účetních a finančních výkazech a budou doloženy podrobným komentářem.</t>
  </si>
  <si>
    <t>Kontrolovala : Ing. Mikulová, tel. 974 849 327</t>
  </si>
  <si>
    <t>Vypracovala: Ing. Bočanová, tel. 974 849 815</t>
  </si>
  <si>
    <t>VÝDAJE KAPITOLY NA PROGRAMY/PROJEKTY SPOLUFINANCOVANÉ Z ROZPOČTU EVROPSKÉ UNIE NEBO FINANČNÍCH MECHANISMŮ</t>
  </si>
  <si>
    <t>Výdaje kapitoly na financování programů/projektů spolufinancovaných v roce 2015 ze státního rozpočtu ČR a z rozpočtu EU</t>
  </si>
  <si>
    <t>(bez společné zemědělské politiky)</t>
  </si>
  <si>
    <t>Program/Projekt - nástrojové třídění</t>
  </si>
  <si>
    <t>Státní rozpočet</t>
  </si>
  <si>
    <t>Skutečnost k 31.12.2015</t>
  </si>
  <si>
    <t>podíl SR</t>
  </si>
  <si>
    <t>kryto příjmem z rozpočtu EU</t>
  </si>
  <si>
    <t>kód</t>
  </si>
  <si>
    <t>slovy</t>
  </si>
  <si>
    <t>10=7:4</t>
  </si>
  <si>
    <t>11=8:5</t>
  </si>
  <si>
    <t>12=9:6</t>
  </si>
  <si>
    <t>programové období 2004-2006</t>
  </si>
  <si>
    <t>Program (vypsat)</t>
  </si>
  <si>
    <t xml:space="preserve">C e l k e m   </t>
  </si>
  <si>
    <t>programové období 2007-2013</t>
  </si>
  <si>
    <t>036</t>
  </si>
  <si>
    <t>IOP</t>
  </si>
  <si>
    <t>054</t>
  </si>
  <si>
    <t>OP ŽP</t>
  </si>
  <si>
    <t>041</t>
  </si>
  <si>
    <t>OP PS</t>
  </si>
  <si>
    <t>032</t>
  </si>
  <si>
    <t>OP VK</t>
  </si>
  <si>
    <t>033</t>
  </si>
  <si>
    <t>OP LZZ</t>
  </si>
  <si>
    <t>OP celkem</t>
  </si>
  <si>
    <t>047</t>
  </si>
  <si>
    <t>Komunitární programy vč. OP Solidarita</t>
  </si>
  <si>
    <t>046</t>
  </si>
  <si>
    <t>EMS, TAIEX</t>
  </si>
  <si>
    <t>Komunitární programy a ostatní celkem</t>
  </si>
  <si>
    <t>programové období 2014-2020</t>
  </si>
  <si>
    <t>IROP</t>
  </si>
  <si>
    <t>104</t>
  </si>
  <si>
    <t>OPZ</t>
  </si>
  <si>
    <t>121</t>
  </si>
  <si>
    <t>Komunitární programy</t>
  </si>
  <si>
    <t>120</t>
  </si>
  <si>
    <t>Fondy EU v oblasti vnitřních věcí</t>
  </si>
  <si>
    <t xml:space="preserve">Ú h r n e m </t>
  </si>
  <si>
    <t>Nároky z nespotřebovaných výdajů</t>
  </si>
  <si>
    <t>stav k 1.1.2015</t>
  </si>
  <si>
    <t>skutečné čerpání k 31.12.2015</t>
  </si>
  <si>
    <t>stav k 1.1.2016</t>
  </si>
  <si>
    <t>107</t>
  </si>
  <si>
    <t>Výdaje kapitoly na financování programů/projektů spolufinancovaných v roce 2015 ze státního rozpočtu ČR a z rozpočtu donorských zemí v rámci finančních mechanismů</t>
  </si>
  <si>
    <t>Finanční mechanismus</t>
  </si>
  <si>
    <t>kryto příjmem z rozpočtu donorských zemí FM</t>
  </si>
  <si>
    <t>Program Švýcarsko-české spolupráce</t>
  </si>
  <si>
    <t>6001;6003</t>
  </si>
  <si>
    <t>EHP/Norsko</t>
  </si>
  <si>
    <t>Vypracovala: Ing. Kociánová 974 849 209, Ing. Hradecká, Ing. Kulhánková, Mgr. Ledvinková</t>
  </si>
  <si>
    <t>Kontrolovala: Ing. Konířová, 974 849 393</t>
  </si>
  <si>
    <t xml:space="preserve">Kapitola:   314 - Ministerstvo vnitra </t>
  </si>
  <si>
    <t xml:space="preserve">Kapitola:  314 - Ministerstvo vnitra </t>
  </si>
  <si>
    <t xml:space="preserve">Kapitola:   </t>
  </si>
  <si>
    <t>Období:</t>
  </si>
  <si>
    <t>PŘÍJMY KAPITOLY NA PROGRAMY/PROJEKTY SPOLUFINANCOVANÉ Z ROZPOČTU EVROPSKÉ UNIE NEBO FINANČNÍCH MECHANISMŮ</t>
  </si>
  <si>
    <t>Příjmy kapitoly z rozpočtu EU na financování společných programů EU a ČR  v roce 2015 (bez společné zemědělské politiky)</t>
  </si>
  <si>
    <t>tis. Kč</t>
  </si>
  <si>
    <t xml:space="preserve">z toho </t>
  </si>
  <si>
    <t>příjem prostředků podle § 25 odst. 1 písm. c) zákona č. 218/2000 Sb., ve znění pozdějších předpisů</t>
  </si>
  <si>
    <t xml:space="preserve">kód </t>
  </si>
  <si>
    <t>6 = (3 - 5) : 2</t>
  </si>
  <si>
    <t>komunitární programy</t>
  </si>
  <si>
    <t>ostatní programy/projekty</t>
  </si>
  <si>
    <t xml:space="preserve">  Ú h r n e m</t>
  </si>
  <si>
    <t>Operační programy/FS progr.obd. 2004-2006 celkem</t>
  </si>
  <si>
    <t>Operační programy progr.obd. 2007-2013 celkem</t>
  </si>
  <si>
    <t>Operační programy progr.obd. 2014-2020 celkem</t>
  </si>
  <si>
    <t>Komunitární programy celkem</t>
  </si>
  <si>
    <t>Ostatní celkem</t>
  </si>
  <si>
    <t>Příjmy kapitoly z finančních mechanismů</t>
  </si>
  <si>
    <t xml:space="preserve">Vypracovala: Ing. Kociánová 974 849 209, Ing. Hradecká, </t>
  </si>
  <si>
    <t xml:space="preserve">314 - Ministerstvo vnitra </t>
  </si>
  <si>
    <t>mimorozpoč-tové zdroje</t>
  </si>
  <si>
    <t xml:space="preserve">Tabulka č. 8 </t>
  </si>
  <si>
    <t xml:space="preserve"> Strana  2</t>
  </si>
  <si>
    <t xml:space="preserve"> Strana  1</t>
  </si>
  <si>
    <t xml:space="preserve">                       Ing. Kulhánková, Mgr. Ledvinková</t>
  </si>
  <si>
    <t>Skutečnost za rok 2014</t>
  </si>
  <si>
    <t>Schválený rozpočet na rok 2015</t>
  </si>
  <si>
    <t>Rozpočet 2015 po změnách podle § 23 odstavec 1 písm. a)</t>
  </si>
  <si>
    <t xml:space="preserve">Změny rozpočtu 2015 podle § 23 odstavec 1 písm. b) </t>
  </si>
  <si>
    <t>Změny rozpočtu 2015 podle § 23 odstavec 1 písm. c)</t>
  </si>
  <si>
    <t>Skutečnost za rok 2015</t>
  </si>
  <si>
    <t>Čerpání nároku na použití úspor z minulých let podle § 47 rozpočtových pravidel</t>
  </si>
  <si>
    <t>Čerpání v dalších případech překročení povoleného MF a čerpání prostředků na podporu vědy a výzkumu</t>
  </si>
  <si>
    <t>Čerpání mimorozpočtových zdrojů</t>
  </si>
  <si>
    <t>Čerpání prostředků vyčleněných z limitů regulace zaměstnanosti včetně souvisejícího počtu zaměstnanců</t>
  </si>
  <si>
    <t>Zůstatek fondu odměn k 31.12.2015</t>
  </si>
  <si>
    <t xml:space="preserve">PLNĚNÍ ROZPOČTU PO ZMĚNÁCH </t>
  </si>
  <si>
    <t xml:space="preserve">Dodržení objemu prostředků na platy a ostatní platby za provedenou práci a počtu funkčních míst (- úspora;  + překročení) </t>
  </si>
  <si>
    <t>Index růstu průměrného platu</t>
  </si>
  <si>
    <t>Zůstatek fondu odměn</t>
  </si>
  <si>
    <t xml:space="preserve">PLNĚNÍ KONEČNÉHO ROZPOČTU </t>
  </si>
  <si>
    <t>SROVNÁNÍ SKUTEČNOSTI 2015 A SKUTEČNOSTI 2014</t>
  </si>
  <si>
    <t xml:space="preserve">Rozdíl skutečnost - rozpočet po změnách </t>
  </si>
  <si>
    <t>% plnění (skutečnost/rozpočet po změnách)</t>
  </si>
  <si>
    <t xml:space="preserve">Rozdíl skutečnost - konečný rozpočet </t>
  </si>
  <si>
    <t>% plnění (skutečnost/konečný rozpočet)</t>
  </si>
  <si>
    <t>Rozdíl skutečnost 2015 - skutečnost 2014                                                 (-) úspora; (+) překročení</t>
  </si>
  <si>
    <t>% plnění (skutečnost 2015/skutečnost 2014)</t>
  </si>
  <si>
    <t>Prostředky na platy a ostatní platby za provedenou práci (mzdové náklady)</t>
  </si>
  <si>
    <t xml:space="preserve">Počet zaměstnanců </t>
  </si>
  <si>
    <t>Skutečnost 2015 /</t>
  </si>
  <si>
    <t>k 31.12.            2015</t>
  </si>
  <si>
    <t>Průměrný plat</t>
  </si>
  <si>
    <t>Přepočtený počet zaměstnanců</t>
  </si>
  <si>
    <t>Ostatní platby za provedenou práci (OON)</t>
  </si>
  <si>
    <t xml:space="preserve">Prostředky na platy </t>
  </si>
  <si>
    <t>Počet zaměstnanců v ročním průměru</t>
  </si>
  <si>
    <t>Průměrný přepočtený počet zaměstnanců</t>
  </si>
  <si>
    <t>skutečnost 2014</t>
  </si>
  <si>
    <t>schválený rozpočet 2015</t>
  </si>
  <si>
    <t>rozpočet 2015 po změnách</t>
  </si>
  <si>
    <t>v Kč</t>
  </si>
  <si>
    <t>a</t>
  </si>
  <si>
    <t>Organizační složky státu celkem</t>
  </si>
  <si>
    <t>z toho:     rozpočtová položka 5011</t>
  </si>
  <si>
    <t xml:space="preserve">              rozpočtová položka 5012</t>
  </si>
  <si>
    <t xml:space="preserve">                  v tom:  platy příslušníků Policie</t>
  </si>
  <si>
    <t xml:space="preserve">                              platy příslušníků Hasičského záchranného sboru</t>
  </si>
  <si>
    <t xml:space="preserve">              rozpočtová položka 5013</t>
  </si>
  <si>
    <t xml:space="preserve">              rozpočtová položka 5014</t>
  </si>
  <si>
    <t xml:space="preserve">              rozpočtová položka 5022</t>
  </si>
  <si>
    <t>a) Státní správa celkem</t>
  </si>
  <si>
    <t>v tom :</t>
  </si>
  <si>
    <t xml:space="preserve">I. Ústřední orgán státní správy   </t>
  </si>
  <si>
    <t>II. Organizační složky státu - státní správa celkem</t>
  </si>
  <si>
    <t xml:space="preserve">- Složky Ministerstva vnitra </t>
  </si>
  <si>
    <t xml:space="preserve">- Jednotlivá organizační složka </t>
  </si>
  <si>
    <t>III. Správa ve složkách obrany, bezpečnosti, celní a právní ochrany</t>
  </si>
  <si>
    <t>- Policie ČR</t>
  </si>
  <si>
    <t>- Hasičský záchranný sbor ČR</t>
  </si>
  <si>
    <t xml:space="preserve">                  v tom: platy příslušníků Hasičského záchranného sboru</t>
  </si>
  <si>
    <t>- Jednotlivé SOBCPO celkem</t>
  </si>
  <si>
    <t>b) Ostatní organizační složky státu celkem</t>
  </si>
  <si>
    <t>Příspěvkové organizace celkem</t>
  </si>
  <si>
    <t>z toho:     Platy zaměstnanců v prac. poměru vyjma zaměstnanců na služeb. místech</t>
  </si>
  <si>
    <t xml:space="preserve">              Platy zaměstnanců na služebních místech podle zákona o státní službě</t>
  </si>
  <si>
    <t xml:space="preserve">              OPŘO</t>
  </si>
  <si>
    <t xml:space="preserve">              Regionální školství územních celků</t>
  </si>
  <si>
    <t xml:space="preserve">              Regionální školství MŠMT</t>
  </si>
  <si>
    <t>Organizační složky státu a příspěvkové organizace celkem</t>
  </si>
  <si>
    <t xml:space="preserve">Údaje schváleného rozpočtu, rozpočtu po změnách a skutečnosti musí být shodné s údaji v tabulce č. 1  - Bilance příjmů a výdajů státního rozpočtu za hodnocený rok a v tabulce č. 2  - Plnění  </t>
  </si>
  <si>
    <t>závazných ukazatelů státního rozpočtu za rok 20xx.</t>
  </si>
  <si>
    <t>Prostředky na platy a ostatní platby za provedenou práci organizačních složek státu a mzdové náklady příspěvkových organizací uvede správce kapitoly v Kč (bez desetinných míst).</t>
  </si>
  <si>
    <t>Počet míst, přepočtený počet míst a průměrný roční přepočtený počet zaměstnanců a průměrný plat se uvede po zaokrouhlení v celých číslech (bez desetinných míst).</t>
  </si>
  <si>
    <t xml:space="preserve">Ve sloupcích 6 až 8 se uvedou údaje schváleného rozpočtu upravené o rozpočtová opatření provedená podle § 23 odstavec 1 písm. a) zák. č. 218/2000 Sb., rozpočtová pravidla. </t>
  </si>
  <si>
    <t xml:space="preserve">Ve sloupcích 11 až 12 se uvedou změny podle § 23 odstavec 1 písm. b)  zákona č. 218/2000 Sb., rozpočtová pravidla, nezahrnuté do rozpočtu po změnách ve sl. 6 až 9 ( tím se rozumí </t>
  </si>
  <si>
    <t xml:space="preserve">povolené překročení rozpočtu výdajů, kterým nedochází ke změně závazného ukazatele, např. evidovaný nárok na použití úspor z minulých let). </t>
  </si>
  <si>
    <t>Ve sloupcích 14 až 16 se uvede vázání prostředků státního rozpočtu v rámci rozpočtu, kterým nedochází ke změně závazného ukazatele.</t>
  </si>
  <si>
    <t xml:space="preserve">Ve sloupcích 17 až 19 se uvede skutečné čerpání všech prostředků na platy a ostatní platby za provedenou práci v roce 20xx, tj. včetně použití úspor z minulých let (sl. 22 až 24), čerpání </t>
  </si>
  <si>
    <t>v dalších případech překročení povoleného MF a čerpání prostředků na podporu vědy a výzkumu poskytnuté poskytovatelem příjemci bez provedení rozpočtového opatření podle § 10 zákona č. 130/2002 Sb., se uvede</t>
  </si>
  <si>
    <t>ve sloupcích 25 až 27, čerpání mimorozpočtových zdrojů  se uvede do sloupců 28 až 30 a do sloupců 31 až 33 se uvede čerpání prostředků vyčleněných na základě rozhodnutí vlády z limitů regulace zaměstnanosti.</t>
  </si>
  <si>
    <t xml:space="preserve">SOBCPO je zkratka pro organizační složky státu ve složkách obrany, bezpečnosti, celní a právní ochrany. </t>
  </si>
  <si>
    <t xml:space="preserve">U příspěvkových organizací se ve sloupcích prostředky na platy a ostatní platby za provedenou práci uvedou mzdové náklady a ve sloupcích ostatní platby za provedenou práci se uvedou </t>
  </si>
  <si>
    <t>ostatní osobní náklady, ve sloupcích 11-13 se uvedou zdroje umožňující překročení a ve sloupcích 22-33 pak čerpání zdroje umožňující překročení.</t>
  </si>
  <si>
    <t>Vypracovala: Soňa Vondráčková, tel.974 849731</t>
  </si>
  <si>
    <t>Vypracovala: Mgr. Ledvinková, tel. 974 849 805</t>
  </si>
  <si>
    <t>Vypracoval: (příjmení, telefon, podpis)</t>
  </si>
  <si>
    <t>Kontroloval: (příjmení, telefon, podpis)</t>
  </si>
  <si>
    <t>Datum:</t>
  </si>
  <si>
    <t>třída</t>
  </si>
  <si>
    <t>seskupení</t>
  </si>
  <si>
    <t>podsesk.</t>
  </si>
  <si>
    <t>položka</t>
  </si>
  <si>
    <t>položek</t>
  </si>
  <si>
    <t>111-P1119</t>
  </si>
  <si>
    <t>**)</t>
  </si>
  <si>
    <t>112-P1129</t>
  </si>
  <si>
    <t>11-P1119-P1129</t>
  </si>
  <si>
    <t>121-P1219</t>
  </si>
  <si>
    <t>122 a 123</t>
  </si>
  <si>
    <t>12-P1219</t>
  </si>
  <si>
    <t>140 - 1409</t>
  </si>
  <si>
    <t>14 -1409</t>
  </si>
  <si>
    <t>152 -1529</t>
  </si>
  <si>
    <t>1521, 1522, 1523</t>
  </si>
  <si>
    <t>15 - 1529</t>
  </si>
  <si>
    <t>161, 162</t>
  </si>
  <si>
    <t>kap313:</t>
  </si>
  <si>
    <t>Fin ř.7121;</t>
  </si>
  <si>
    <t>kap307,312,314,336;</t>
  </si>
  <si>
    <t>170 **)</t>
  </si>
  <si>
    <t>1119,1129,1219,1409,1529</t>
  </si>
  <si>
    <t>1 - 16</t>
  </si>
  <si>
    <t>1,2,3,4</t>
  </si>
  <si>
    <t>11,12,13,14,15,16,17,21,22,23,24,31,32,41,42</t>
  </si>
  <si>
    <t>5031, 2 a 9</t>
  </si>
  <si>
    <t>1,2,3,4-(5,6)</t>
  </si>
  <si>
    <t>50,51,52,53,54,55,56,57,59,61,62, 63,64,67,69</t>
  </si>
  <si>
    <t>(1+2+3+4)-(5+6)+8</t>
  </si>
  <si>
    <t>Vysvětlivky:</t>
  </si>
  <si>
    <t>POD  - pododdíl</t>
  </si>
  <si>
    <t>P      - položka</t>
  </si>
  <si>
    <t>PSP  - podseskupení položek</t>
  </si>
  <si>
    <t>SP    - seskupení položek</t>
  </si>
  <si>
    <t>T      - třída</t>
  </si>
  <si>
    <t xml:space="preserve"> PŘÍJMY STÁTNÍHO ROZPOČTU  CELKEM</t>
  </si>
  <si>
    <r>
      <rPr>
        <b/>
        <sz val="16"/>
        <rFont val="Arial"/>
        <family val="2"/>
        <charset val="238"/>
      </rPr>
      <t>A</t>
    </r>
    <r>
      <rPr>
        <sz val="16"/>
        <rFont val="Arial"/>
        <family val="2"/>
        <charset val="238"/>
      </rPr>
      <t xml:space="preserve"> - rozpočtová položka 5013 (u OSS); platy zaměstnanců na služebních místech dle ZSS</t>
    </r>
    <r>
      <rPr>
        <vertAlign val="superscript"/>
        <sz val="16"/>
        <rFont val="Arial"/>
        <family val="2"/>
        <charset val="238"/>
      </rPr>
      <t xml:space="preserve"> 2)</t>
    </r>
    <r>
      <rPr>
        <sz val="16"/>
        <rFont val="Arial"/>
        <family val="2"/>
        <charset val="238"/>
      </rPr>
      <t xml:space="preserve"> (u PO)</t>
    </r>
    <r>
      <rPr>
        <vertAlign val="superscript"/>
        <sz val="16"/>
        <rFont val="Arial"/>
        <family val="2"/>
        <charset val="238"/>
      </rPr>
      <t xml:space="preserve">
</t>
    </r>
    <r>
      <rPr>
        <sz val="16"/>
        <rFont val="Arial"/>
        <family val="2"/>
        <charset val="238"/>
      </rPr>
      <t xml:space="preserve">
</t>
    </r>
    <r>
      <rPr>
        <b/>
        <sz val="16"/>
        <rFont val="Arial"/>
        <family val="2"/>
        <charset val="238"/>
      </rPr>
      <t>B</t>
    </r>
    <r>
      <rPr>
        <sz val="16"/>
        <rFont val="Arial"/>
        <family val="2"/>
        <charset val="238"/>
      </rPr>
      <t xml:space="preserve"> - podseskupení položek 501 vyjma položky 5013 (u OSS); platy zaměstnanců vyjma těch na služebních místech dle ZSS </t>
    </r>
    <r>
      <rPr>
        <vertAlign val="superscript"/>
        <sz val="16"/>
        <rFont val="Arial"/>
        <family val="2"/>
        <charset val="238"/>
      </rPr>
      <t>2)</t>
    </r>
    <r>
      <rPr>
        <sz val="16"/>
        <rFont val="Arial"/>
        <family val="2"/>
        <charset val="238"/>
      </rPr>
      <t xml:space="preserve"> (u PO)</t>
    </r>
    <r>
      <rPr>
        <vertAlign val="superscript"/>
        <sz val="16"/>
        <rFont val="Arial"/>
        <family val="2"/>
        <charset val="238"/>
      </rPr>
      <t xml:space="preserve">
</t>
    </r>
    <r>
      <rPr>
        <sz val="16"/>
        <rFont val="Arial"/>
        <family val="2"/>
        <charset val="238"/>
      </rPr>
      <t xml:space="preserve">
</t>
    </r>
    <r>
      <rPr>
        <b/>
        <sz val="16"/>
        <rFont val="Arial"/>
        <family val="2"/>
        <charset val="238"/>
      </rPr>
      <t>C</t>
    </r>
    <r>
      <rPr>
        <sz val="16"/>
        <rFont val="Arial"/>
        <family val="2"/>
        <charset val="238"/>
      </rPr>
      <t xml:space="preserve"> - OPPP a OON </t>
    </r>
    <r>
      <rPr>
        <vertAlign val="superscript"/>
        <sz val="16"/>
        <rFont val="Arial"/>
        <family val="2"/>
        <charset val="238"/>
      </rPr>
      <t>3)</t>
    </r>
  </si>
  <si>
    <r>
      <t>program / projekt;
kód - nástrojové třídění</t>
    </r>
    <r>
      <rPr>
        <vertAlign val="superscript"/>
        <sz val="16"/>
        <rFont val="Arial"/>
        <family val="2"/>
        <charset val="238"/>
      </rPr>
      <t xml:space="preserve"> 4)</t>
    </r>
  </si>
  <si>
    <t>průměrný měsíční plat v Kč</t>
  </si>
  <si>
    <t>průměrná měsíční motivace v Kč</t>
  </si>
  <si>
    <t xml:space="preserve">průměrný přepočtený počet zaměstnanců </t>
  </si>
  <si>
    <t xml:space="preserve">Platy zaměstnanců a ostatní platby za provedenou práci /ostatní osobní náklady v Kč </t>
  </si>
  <si>
    <t>spolufinancování ČR ze SR</t>
  </si>
  <si>
    <t>kryto příjmy z rozpočtu EU/FM</t>
  </si>
  <si>
    <r>
      <t>systemizovaná místa</t>
    </r>
    <r>
      <rPr>
        <vertAlign val="superscript"/>
        <sz val="16"/>
        <rFont val="Arial"/>
        <family val="2"/>
        <charset val="238"/>
      </rPr>
      <t xml:space="preserve"> 5)</t>
    </r>
  </si>
  <si>
    <r>
      <t xml:space="preserve">motivace </t>
    </r>
    <r>
      <rPr>
        <vertAlign val="superscript"/>
        <sz val="16"/>
        <rFont val="Arial"/>
        <family val="2"/>
        <charset val="238"/>
      </rPr>
      <t>6)</t>
    </r>
  </si>
  <si>
    <r>
      <t xml:space="preserve">jednorázové navýšení </t>
    </r>
    <r>
      <rPr>
        <vertAlign val="superscript"/>
        <sz val="16"/>
        <rFont val="Arial"/>
        <family val="2"/>
        <charset val="238"/>
      </rPr>
      <t>7)</t>
    </r>
  </si>
  <si>
    <t>prostředky na platy</t>
  </si>
  <si>
    <t>motivace</t>
  </si>
  <si>
    <t>ostatní platby za
provedenou
 práci/ostatní osobní náklady</t>
  </si>
  <si>
    <t>6=3+4+5</t>
  </si>
  <si>
    <t>10=7+8+9</t>
  </si>
  <si>
    <t>14=11+12+13</t>
  </si>
  <si>
    <t>18=15+16+17</t>
  </si>
  <si>
    <t>B</t>
  </si>
  <si>
    <t xml:space="preserve">C </t>
  </si>
  <si>
    <t xml:space="preserve">Celkem </t>
  </si>
  <si>
    <t>Administrativní a ostatní personální kapacity celkem</t>
  </si>
  <si>
    <t>C</t>
  </si>
  <si>
    <r>
      <rPr>
        <vertAlign val="superscript"/>
        <sz val="16"/>
        <rFont val="Arial"/>
        <family val="2"/>
        <charset val="238"/>
      </rPr>
      <t>1)</t>
    </r>
    <r>
      <rPr>
        <sz val="16"/>
        <rFont val="Arial"/>
        <family val="2"/>
        <charset val="238"/>
      </rPr>
      <t xml:space="preserve"> Údaje navazují na tabulku, která je součástí dokumentace k návrhu státního rozpočtu na hodnocený rok a budou vyplněny za organizační složky státu a příspěvkové organizace spadající do regulace zaměstnanosti sledované vládou ČR,  v členění na administrativní a ostatní personální kapacity. Kapitola MŠMT u regionálního školství vykáže údaje vyčleněné ze mzdové regulace ještě i v samostatném řádku. </t>
    </r>
    <r>
      <rPr>
        <sz val="16"/>
        <color rgb="FFFF0000"/>
        <rFont val="Arial"/>
        <family val="2"/>
        <charset val="238"/>
      </rPr>
      <t/>
    </r>
  </si>
  <si>
    <r>
      <t>2)</t>
    </r>
    <r>
      <rPr>
        <sz val="16"/>
        <rFont val="Arial"/>
        <family val="2"/>
        <charset val="238"/>
      </rPr>
      <t xml:space="preserve"> Zákon č. 234/2014 Sb., o státní službě, ve znění pozdějších předpisů.</t>
    </r>
  </si>
  <si>
    <r>
      <t>3)</t>
    </r>
    <r>
      <rPr>
        <sz val="16"/>
        <rFont val="Arial"/>
        <family val="2"/>
        <charset val="238"/>
      </rPr>
      <t xml:space="preserve"> Ostatní platby za provedenou práci u organizačních složek státu a ostatní osobní náklady u příspěvkových organizací.</t>
    </r>
  </si>
  <si>
    <r>
      <t>4)</t>
    </r>
    <r>
      <rPr>
        <sz val="16"/>
        <rFont val="Arial"/>
        <family val="2"/>
        <charset val="238"/>
      </rPr>
      <t xml:space="preserve"> </t>
    </r>
    <r>
      <rPr>
        <sz val="16"/>
        <color theme="1"/>
        <rFont val="Arial"/>
        <family val="2"/>
        <charset val="238"/>
      </rPr>
      <t>Nástrojové třídění</t>
    </r>
    <r>
      <rPr>
        <sz val="16"/>
        <rFont val="Arial"/>
        <family val="2"/>
        <charset val="238"/>
      </rPr>
      <t xml:space="preserve"> podle vyhlášky č. 323/2002 Sb., o rozpočtové skladbě, ve znění pozdějších předpisů.</t>
    </r>
  </si>
  <si>
    <r>
      <rPr>
        <vertAlign val="superscript"/>
        <sz val="16"/>
        <rFont val="Arial"/>
        <family val="2"/>
        <charset val="238"/>
      </rPr>
      <t>5)</t>
    </r>
    <r>
      <rPr>
        <sz val="16"/>
        <rFont val="Arial"/>
        <family val="2"/>
        <charset val="238"/>
      </rPr>
      <t xml:space="preserve"> Zaměstnanci, kteří se podílejí na implementaci či realizaci programů/projektů EU/FM bez jednorázového navýšení.</t>
    </r>
  </si>
  <si>
    <r>
      <t>6)</t>
    </r>
    <r>
      <rPr>
        <sz val="16"/>
        <color theme="1"/>
        <rFont val="Arial"/>
        <family val="2"/>
        <charset val="238"/>
      </rPr>
      <t xml:space="preserve"> Zaměstnanci hrazeni ze SR a odměňováni podle usnesení vlády č. 444/2014 a zaměstanci dle definice ostatních personálních kapacit hrazeni ze SR a odměňováni z programů/projektů EU/FM.</t>
    </r>
  </si>
  <si>
    <r>
      <t xml:space="preserve">7) </t>
    </r>
    <r>
      <rPr>
        <sz val="16"/>
        <rFont val="Arial"/>
        <family val="2"/>
        <charset val="238"/>
      </rPr>
      <t>Zaměstnanci, kteří se podílejí na implementaci či realizaci programů/projektů EU/FM a jejichž počet je aktualizován v rámci rozpočtu kapitoly každý rok.</t>
    </r>
  </si>
  <si>
    <r>
      <t xml:space="preserve">8) </t>
    </r>
    <r>
      <rPr>
        <sz val="16"/>
        <rFont val="Arial"/>
        <family val="2"/>
        <charset val="238"/>
      </rPr>
      <t>Zaměstnanci, kteří se podílejí na implementaci fondů EU podle usnesení vlády č. 444/2014.</t>
    </r>
  </si>
  <si>
    <r>
      <t xml:space="preserve">9) </t>
    </r>
    <r>
      <rPr>
        <sz val="16"/>
        <color theme="1"/>
        <rFont val="Arial"/>
        <family val="2"/>
        <charset val="238"/>
      </rPr>
      <t>Zaměstnanci realizující programy/projekty EU/FM včetně administrátorů FM.</t>
    </r>
  </si>
  <si>
    <t>Počet zaměstnanců a průměrný plat se uvede po zaokrouhlení v celých číslech (bez desetinných míst).</t>
  </si>
  <si>
    <t>Vypracovala: Soňa Vondráčková, tel. 974 849 731</t>
  </si>
  <si>
    <t>Kontrolovala: Ing. Marcelína Horáková, tel. 974 849 802</t>
  </si>
  <si>
    <t>Datum: 3. března 2016</t>
  </si>
  <si>
    <r>
      <t>Výdaje na platy a ostatní platby za provedenou práci/ostatní osobní náklady v rámci programů/projektů spolufinancovaných z rozpočtu Evropské unie nebo finančních mechanismů čerpané v roce 2015 za jednotlivé OSS a PO</t>
    </r>
    <r>
      <rPr>
        <b/>
        <vertAlign val="superscript"/>
        <sz val="20"/>
        <rFont val="Arial"/>
        <family val="2"/>
        <charset val="238"/>
      </rPr>
      <t>1)</t>
    </r>
  </si>
  <si>
    <r>
      <t xml:space="preserve">Administrativní personální kapacity </t>
    </r>
    <r>
      <rPr>
        <vertAlign val="superscript"/>
        <sz val="16"/>
        <rFont val="Arial"/>
        <family val="2"/>
        <charset val="238"/>
      </rPr>
      <t>8)</t>
    </r>
  </si>
  <si>
    <r>
      <t xml:space="preserve">Ostatní personální kapacity </t>
    </r>
    <r>
      <rPr>
        <vertAlign val="superscript"/>
        <sz val="16"/>
        <rFont val="Arial"/>
        <family val="2"/>
        <charset val="238"/>
      </rPr>
      <t>9)</t>
    </r>
  </si>
  <si>
    <t>Kapitola:Ministerstvo vnitra</t>
  </si>
  <si>
    <t>Organizační složka státu/příspěvková organizace: OSS MV</t>
  </si>
  <si>
    <r>
      <t xml:space="preserve">Administrativní personální kapacity </t>
    </r>
    <r>
      <rPr>
        <vertAlign val="superscript"/>
        <sz val="18"/>
        <rFont val="Arial"/>
        <family val="2"/>
        <charset val="238"/>
      </rPr>
      <t>8)</t>
    </r>
  </si>
  <si>
    <r>
      <t xml:space="preserve">Ostatní personální kapacity </t>
    </r>
    <r>
      <rPr>
        <vertAlign val="superscript"/>
        <sz val="18"/>
        <rFont val="Arial"/>
        <family val="2"/>
        <charset val="238"/>
      </rPr>
      <t>9)</t>
    </r>
  </si>
  <si>
    <t>Organizační složka státu/příspěvková organizace: Česká republika Státní oblastní archiv Plzeň</t>
  </si>
  <si>
    <t>Organizační složka státu/příspěvková organizace: Policie ČR v krajích</t>
  </si>
  <si>
    <t>Organizační složka státu/příspěvková organizace: HZS ČR v karjích + ZÚ Hlučín</t>
  </si>
  <si>
    <t>Organizační složka státu/příspěvková organizace: VOŠ a SOŠ PO Frýdek Místek</t>
  </si>
  <si>
    <t>Organizační složka státu/příspěvková organizace: Správa uprchlických zařízení MV</t>
  </si>
  <si>
    <t>Datum: 29. února 2016</t>
  </si>
  <si>
    <t>Vypracovala: Soňa Vondráčková, tel.  974 849 731</t>
  </si>
  <si>
    <t>Organizační schéma kapitoly 314 - Ministerstvo vnitra k 31. 12.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</si>
</sst>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K_č_-;\-* #,##0.00\ _K_č_-;_-* &quot;-&quot;??\ _K_č_-;_-@_-"/>
    <numFmt numFmtId="164" formatCode="#,##0&quot; &quot;"/>
    <numFmt numFmtId="165" formatCode="_-* #,##0_-;\-* #,##0_-;_-* &quot;-&quot;_-;_-@_-"/>
    <numFmt numFmtId="166" formatCode="m\o\n\th\ d\,\ \y\y\y\y"/>
    <numFmt numFmtId="167" formatCode="#,##0.00;\-#,##0.00;#,##0.00;@"/>
    <numFmt numFmtId="168" formatCode="#,##0.00_ ;\-#,##0.00\ "/>
    <numFmt numFmtId="169" formatCode="#,##0.00&quot; &quot;;\-#,##0.00&quot; &quot;;&quot; &quot;;&quot; &quot;\ "/>
    <numFmt numFmtId="170" formatCode="#,##0.0"/>
    <numFmt numFmtId="171" formatCode="#,##0.000"/>
  </numFmts>
  <fonts count="200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2"/>
      <name val="Times New Roman CE"/>
      <family val="1"/>
      <charset val="238"/>
    </font>
    <font>
      <b/>
      <sz val="10"/>
      <name val="Arial"/>
      <family val="2"/>
      <charset val="238"/>
    </font>
    <font>
      <sz val="8"/>
      <name val="Arial CE"/>
      <charset val="238"/>
    </font>
    <font>
      <sz val="10"/>
      <name val="Times New Roman CE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2"/>
      <name val="Arial CE"/>
      <charset val="238"/>
    </font>
    <font>
      <sz val="10"/>
      <name val="Arial CE"/>
      <charset val="238"/>
    </font>
    <font>
      <sz val="11"/>
      <name val="Arial CE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9"/>
      <name val="Times New Roman"/>
      <family val="1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b/>
      <sz val="14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Times New Roman"/>
      <family val="1"/>
      <charset val="238"/>
    </font>
    <font>
      <b/>
      <sz val="18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20"/>
      <color indexed="60"/>
      <name val="Times New Roman CE"/>
      <charset val="238"/>
    </font>
    <font>
      <sz val="20"/>
      <color indexed="39"/>
      <name val="Times New Roman CE"/>
      <family val="1"/>
      <charset val="238"/>
    </font>
    <font>
      <b/>
      <sz val="18"/>
      <name val="AmphionCondensedExtrabold"/>
      <charset val="238"/>
    </font>
    <font>
      <sz val="18"/>
      <name val="AmphionCondensedExtrabold"/>
      <charset val="238"/>
    </font>
    <font>
      <u/>
      <sz val="18"/>
      <name val="AmphionCondensedExtrabold"/>
      <charset val="238"/>
    </font>
    <font>
      <sz val="11"/>
      <name val="AmphionCondensedExtrabold"/>
      <charset val="238"/>
    </font>
    <font>
      <sz val="14"/>
      <name val="AmphionCondensedExtrabold"/>
      <charset val="238"/>
    </font>
    <font>
      <u/>
      <sz val="14"/>
      <name val="AmphionCondensedExtrabold"/>
      <charset val="238"/>
    </font>
    <font>
      <sz val="10"/>
      <name val="AmphionCondensedExtrabold"/>
      <charset val="238"/>
    </font>
    <font>
      <sz val="22"/>
      <name val="Times New Roman CE"/>
      <family val="1"/>
      <charset val="238"/>
    </font>
    <font>
      <b/>
      <sz val="16"/>
      <name val="Times New Roman CE"/>
      <family val="1"/>
      <charset val="238"/>
    </font>
    <font>
      <sz val="10"/>
      <name val="Times New Roman CE"/>
      <family val="1"/>
      <charset val="238"/>
    </font>
    <font>
      <b/>
      <sz val="12"/>
      <color indexed="12"/>
      <name val="Arial"/>
      <family val="2"/>
      <charset val="238"/>
    </font>
    <font>
      <b/>
      <sz val="11"/>
      <color indexed="60"/>
      <name val="Arial"/>
      <family val="2"/>
      <charset val="238"/>
    </font>
    <font>
      <b/>
      <sz val="10"/>
      <color indexed="60"/>
      <name val="Arial"/>
      <family val="2"/>
      <charset val="238"/>
    </font>
    <font>
      <b/>
      <sz val="11"/>
      <color indexed="21"/>
      <name val="Arial CE"/>
      <charset val="238"/>
    </font>
    <font>
      <sz val="10"/>
      <color indexed="21"/>
      <name val="Arial CE"/>
      <charset val="238"/>
    </font>
    <font>
      <b/>
      <sz val="11"/>
      <color indexed="61"/>
      <name val="Arial CE"/>
      <charset val="238"/>
    </font>
    <font>
      <b/>
      <sz val="11"/>
      <color indexed="16"/>
      <name val="Arial"/>
      <family val="2"/>
      <charset val="238"/>
    </font>
    <font>
      <b/>
      <sz val="10"/>
      <name val="AmphionCondensedExtrabold"/>
      <charset val="238"/>
    </font>
    <font>
      <b/>
      <sz val="11"/>
      <name val="Century Schoolbook CE"/>
      <charset val="238"/>
    </font>
    <font>
      <sz val="11"/>
      <name val="Bookman Old Style CE"/>
      <charset val="238"/>
    </font>
    <font>
      <b/>
      <sz val="10"/>
      <color indexed="18"/>
      <name val="Arial"/>
      <family val="2"/>
      <charset val="238"/>
    </font>
    <font>
      <sz val="11"/>
      <name val="Arial CE"/>
      <family val="2"/>
      <charset val="238"/>
    </font>
    <font>
      <sz val="11"/>
      <color indexed="21"/>
      <name val="Arial CE"/>
      <family val="2"/>
      <charset val="238"/>
    </font>
    <font>
      <sz val="10"/>
      <color indexed="21"/>
      <name val="Arial CE"/>
      <family val="2"/>
      <charset val="238"/>
    </font>
    <font>
      <b/>
      <sz val="11"/>
      <color indexed="18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0"/>
      <color indexed="18"/>
      <name val="Times New Roman CE"/>
      <family val="1"/>
      <charset val="238"/>
    </font>
    <font>
      <b/>
      <strike/>
      <sz val="11"/>
      <color indexed="37"/>
      <name val="Times New Roman CE"/>
      <family val="1"/>
      <charset val="238"/>
    </font>
    <font>
      <sz val="10"/>
      <color indexed="37"/>
      <name val="Times New Roman CE"/>
      <family val="1"/>
      <charset val="238"/>
    </font>
    <font>
      <b/>
      <sz val="11"/>
      <color indexed="21"/>
      <name val="Arial CE"/>
      <family val="2"/>
      <charset val="238"/>
    </font>
    <font>
      <sz val="11"/>
      <color indexed="16"/>
      <name val="Arial"/>
      <family val="2"/>
      <charset val="238"/>
    </font>
    <font>
      <b/>
      <sz val="11"/>
      <color indexed="32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color indexed="25"/>
      <name val="Arial"/>
      <family val="2"/>
      <charset val="238"/>
    </font>
    <font>
      <b/>
      <sz val="11"/>
      <color indexed="12"/>
      <name val="Times New Roman CE"/>
      <family val="1"/>
      <charset val="238"/>
    </font>
    <font>
      <b/>
      <sz val="12"/>
      <color indexed="16"/>
      <name val="Arial"/>
      <family val="2"/>
      <charset val="238"/>
    </font>
    <font>
      <b/>
      <sz val="11"/>
      <color indexed="37"/>
      <name val="Times New Roman CE"/>
      <family val="1"/>
      <charset val="238"/>
    </font>
    <font>
      <b/>
      <sz val="12"/>
      <color indexed="39"/>
      <name val="Times New Roman CE"/>
      <family val="1"/>
      <charset val="238"/>
    </font>
    <font>
      <b/>
      <sz val="10"/>
      <color indexed="39"/>
      <name val="Times New Roman CE"/>
      <family val="1"/>
      <charset val="238"/>
    </font>
    <font>
      <b/>
      <sz val="16"/>
      <color indexed="12"/>
      <name val="Times New Roman CE"/>
      <family val="1"/>
      <charset val="238"/>
    </font>
    <font>
      <b/>
      <sz val="11"/>
      <color indexed="61"/>
      <name val="Arial CE"/>
      <family val="2"/>
      <charset val="238"/>
    </font>
    <font>
      <sz val="11"/>
      <color indexed="25"/>
      <name val="Times New Roman CE"/>
      <family val="1"/>
      <charset val="238"/>
    </font>
    <font>
      <u/>
      <sz val="10"/>
      <name val="Arial CE"/>
      <family val="2"/>
      <charset val="238"/>
    </font>
    <font>
      <sz val="10"/>
      <name val="Arial Narrow CE"/>
      <family val="2"/>
      <charset val="238"/>
    </font>
    <font>
      <b/>
      <u/>
      <sz val="18"/>
      <name val="AmphionCondensedExtrabold"/>
      <charset val="238"/>
    </font>
    <font>
      <sz val="11"/>
      <name val="Arial Narrow CE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"/>
      <color indexed="8"/>
      <name val="Courier"/>
      <family val="1"/>
      <charset val="238"/>
    </font>
    <font>
      <b/>
      <sz val="11"/>
      <color indexed="8"/>
      <name val="Calibri"/>
      <family val="2"/>
    </font>
    <font>
      <b/>
      <sz val="1"/>
      <color indexed="8"/>
      <name val="Courier"/>
      <family val="1"/>
      <charset val="238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0"/>
      <name val="Arial"/>
      <family val="2"/>
      <charset val="238"/>
    </font>
    <font>
      <b/>
      <sz val="14"/>
      <name val="Verdana"/>
      <family val="2"/>
      <charset val="238"/>
    </font>
    <font>
      <sz val="14"/>
      <name val="Verdana"/>
      <family val="2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"/>
      <family val="2"/>
      <charset val="238"/>
    </font>
    <font>
      <sz val="10"/>
      <name val="Arial Unicode MS"/>
      <family val="2"/>
      <charset val="238"/>
    </font>
    <font>
      <b/>
      <sz val="9"/>
      <name val="Arial"/>
      <family val="2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i/>
      <sz val="9"/>
      <name val="Arial"/>
      <family val="2"/>
      <charset val="238"/>
    </font>
    <font>
      <i/>
      <sz val="9"/>
      <color indexed="8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</font>
    <font>
      <sz val="8"/>
      <name val="Arial CE"/>
      <family val="2"/>
      <charset val="238"/>
    </font>
    <font>
      <b/>
      <sz val="11"/>
      <name val="Arial CE"/>
      <family val="2"/>
      <charset val="238"/>
    </font>
    <font>
      <sz val="9"/>
      <name val="Arial CE"/>
      <family val="2"/>
      <charset val="238"/>
    </font>
    <font>
      <sz val="6"/>
      <name val="Arial CE"/>
      <family val="2"/>
      <charset val="238"/>
    </font>
    <font>
      <i/>
      <sz val="8"/>
      <name val="Arial CE"/>
      <family val="2"/>
      <charset val="238"/>
    </font>
    <font>
      <b/>
      <i/>
      <sz val="9"/>
      <name val="Arial CE"/>
      <family val="2"/>
      <charset val="238"/>
    </font>
    <font>
      <b/>
      <sz val="10"/>
      <name val="Arial CE"/>
      <charset val="238"/>
    </font>
    <font>
      <b/>
      <sz val="8"/>
      <name val="Arial CE"/>
      <family val="2"/>
      <charset val="238"/>
    </font>
    <font>
      <b/>
      <sz val="9"/>
      <name val="Arial CE"/>
      <family val="2"/>
      <charset val="238"/>
    </font>
    <font>
      <sz val="8"/>
      <color indexed="11"/>
      <name val="Arial CE"/>
      <family val="2"/>
      <charset val="238"/>
    </font>
    <font>
      <vertAlign val="superscript"/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sz val="8"/>
      <color indexed="11"/>
      <name val="Arial CE"/>
      <family val="2"/>
      <charset val="238"/>
    </font>
    <font>
      <sz val="7"/>
      <name val="Arial CE"/>
      <family val="2"/>
      <charset val="238"/>
    </font>
    <font>
      <sz val="9"/>
      <name val="Arial CE"/>
      <charset val="238"/>
    </font>
    <font>
      <b/>
      <i/>
      <sz val="9"/>
      <name val="Arial CE"/>
      <charset val="238"/>
    </font>
    <font>
      <b/>
      <sz val="11"/>
      <name val="Arial CE"/>
      <charset val="238"/>
    </font>
    <font>
      <b/>
      <sz val="12"/>
      <name val="Times New Roman"/>
      <family val="1"/>
      <charset val="238"/>
    </font>
    <font>
      <b/>
      <sz val="10"/>
      <color indexed="10"/>
      <name val="Arial CE"/>
      <charset val="238"/>
    </font>
    <font>
      <sz val="20"/>
      <name val="Arial CE"/>
      <family val="2"/>
      <charset val="238"/>
    </font>
    <font>
      <b/>
      <sz val="8"/>
      <name val="Arial CE"/>
      <charset val="238"/>
    </font>
    <font>
      <i/>
      <sz val="10"/>
      <name val="Arial CE"/>
      <charset val="238"/>
    </font>
    <font>
      <i/>
      <sz val="10"/>
      <name val="Times New Roman"/>
      <family val="1"/>
      <charset val="238"/>
    </font>
    <font>
      <i/>
      <sz val="10"/>
      <color indexed="10"/>
      <name val="Arial CE"/>
      <charset val="238"/>
    </font>
    <font>
      <i/>
      <sz val="10"/>
      <name val="Arial CE"/>
      <family val="2"/>
      <charset val="238"/>
    </font>
    <font>
      <u/>
      <sz val="9"/>
      <name val="Arial CE"/>
      <family val="2"/>
      <charset val="238"/>
    </font>
    <font>
      <b/>
      <sz val="9"/>
      <name val="Arial CE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1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3"/>
      <name val="Arial"/>
      <family val="2"/>
      <charset val="238"/>
    </font>
    <font>
      <b/>
      <sz val="18"/>
      <name val="Arial"/>
      <family val="2"/>
      <charset val="238"/>
    </font>
    <font>
      <b/>
      <i/>
      <sz val="12"/>
      <name val="Arial"/>
      <family val="2"/>
      <charset val="238"/>
    </font>
    <font>
      <b/>
      <sz val="14"/>
      <name val="Times New Roman"/>
      <family val="1"/>
      <charset val="238"/>
    </font>
    <font>
      <b/>
      <sz val="12"/>
      <name val="Arial CE"/>
      <charset val="238"/>
    </font>
    <font>
      <b/>
      <sz val="16"/>
      <name val="Arial CE"/>
      <charset val="238"/>
    </font>
    <font>
      <b/>
      <sz val="22"/>
      <name val="Times New Roman"/>
      <family val="1"/>
      <charset val="238"/>
    </font>
    <font>
      <b/>
      <sz val="16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10"/>
      <name val="Arial CE"/>
      <charset val="238"/>
    </font>
    <font>
      <b/>
      <sz val="12"/>
      <color indexed="10"/>
      <name val="Times New Roman"/>
      <family val="1"/>
      <charset val="238"/>
    </font>
    <font>
      <b/>
      <sz val="1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sz val="10"/>
      <name val="Arial CE"/>
    </font>
    <font>
      <b/>
      <sz val="10"/>
      <color rgb="FFFF0000"/>
      <name val="Times New Roman"/>
      <family val="1"/>
      <charset val="238"/>
    </font>
    <font>
      <sz val="16"/>
      <name val="Arial CE"/>
      <charset val="238"/>
    </font>
    <font>
      <b/>
      <sz val="16"/>
      <name val="Arial CE"/>
      <family val="2"/>
      <charset val="238"/>
    </font>
    <font>
      <b/>
      <sz val="12"/>
      <color indexed="81"/>
      <name val="Tahoma"/>
      <family val="2"/>
      <charset val="238"/>
    </font>
    <font>
      <b/>
      <sz val="18"/>
      <name val="Times New Roman"/>
      <family val="1"/>
      <charset val="238"/>
    </font>
    <font>
      <sz val="18"/>
      <name val="Arial CE"/>
      <charset val="238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8"/>
      <name val="Times New Roman"/>
      <family val="1"/>
      <charset val="238"/>
    </font>
    <font>
      <sz val="8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sz val="18"/>
      <name val="Arial"/>
      <family val="2"/>
      <charset val="238"/>
    </font>
    <font>
      <vertAlign val="superscript"/>
      <sz val="16"/>
      <name val="Arial"/>
      <family val="2"/>
      <charset val="238"/>
    </font>
    <font>
      <sz val="8"/>
      <name val="Arial CE"/>
    </font>
    <font>
      <sz val="16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6"/>
      <color rgb="FFFF0000"/>
      <name val="Arial"/>
      <family val="2"/>
      <charset val="238"/>
    </font>
    <font>
      <vertAlign val="superscript"/>
      <sz val="20"/>
      <name val="Arial"/>
      <family val="2"/>
      <charset val="238"/>
    </font>
    <font>
      <sz val="16"/>
      <color theme="1"/>
      <name val="Arial"/>
      <family val="2"/>
      <charset val="238"/>
    </font>
    <font>
      <vertAlign val="superscript"/>
      <sz val="16"/>
      <color theme="1"/>
      <name val="Arial"/>
      <family val="2"/>
      <charset val="238"/>
    </font>
    <font>
      <b/>
      <sz val="20"/>
      <name val="Arial"/>
      <family val="2"/>
      <charset val="238"/>
    </font>
    <font>
      <b/>
      <vertAlign val="superscript"/>
      <sz val="20"/>
      <name val="Arial"/>
      <family val="2"/>
      <charset val="238"/>
    </font>
    <font>
      <sz val="20"/>
      <name val="Arial"/>
      <family val="2"/>
      <charset val="238"/>
    </font>
    <font>
      <vertAlign val="superscript"/>
      <sz val="18"/>
      <name val="Arial"/>
      <family val="2"/>
      <charset val="238"/>
    </font>
    <font>
      <sz val="14"/>
      <name val="Times New Roman"/>
      <family val="1"/>
      <charset val="238"/>
    </font>
    <font>
      <sz val="12"/>
      <name val="Times New Roman"/>
      <family val="1"/>
      <charset val="238"/>
    </font>
    <font>
      <b/>
      <sz val="20"/>
      <name val="Times New Roman"/>
      <family val="1"/>
      <charset val="238"/>
    </font>
  </fonts>
  <fills count="6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gray0625">
        <bgColor indexed="9"/>
      </patternFill>
    </fill>
    <fill>
      <patternFill patternType="solid">
        <fgColor indexed="10"/>
        <bgColor indexed="64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58"/>
        <bgColor indexed="64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208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 style="medium">
        <color indexed="61"/>
      </right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1"/>
      </left>
      <right/>
      <top style="medium">
        <color indexed="61"/>
      </top>
      <bottom style="medium">
        <color indexed="61"/>
      </bottom>
      <diagonal/>
    </border>
    <border>
      <left/>
      <right style="medium">
        <color indexed="61"/>
      </right>
      <top style="medium">
        <color indexed="61"/>
      </top>
      <bottom style="medium">
        <color indexed="61"/>
      </bottom>
      <diagonal/>
    </border>
    <border>
      <left style="medium">
        <color indexed="48"/>
      </left>
      <right/>
      <top style="medium">
        <color indexed="48"/>
      </top>
      <bottom style="medium">
        <color indexed="48"/>
      </bottom>
      <diagonal/>
    </border>
    <border>
      <left/>
      <right/>
      <top style="medium">
        <color indexed="48"/>
      </top>
      <bottom style="medium">
        <color indexed="48"/>
      </bottom>
      <diagonal/>
    </border>
    <border>
      <left/>
      <right style="medium">
        <color indexed="48"/>
      </right>
      <top style="medium">
        <color indexed="48"/>
      </top>
      <bottom style="medium">
        <color indexed="48"/>
      </bottom>
      <diagonal/>
    </border>
    <border>
      <left style="medium">
        <color indexed="46"/>
      </left>
      <right/>
      <top style="medium">
        <color indexed="46"/>
      </top>
      <bottom style="medium">
        <color indexed="46"/>
      </bottom>
      <diagonal/>
    </border>
    <border>
      <left/>
      <right/>
      <top style="medium">
        <color indexed="46"/>
      </top>
      <bottom style="medium">
        <color indexed="46"/>
      </bottom>
      <diagonal/>
    </border>
    <border>
      <left/>
      <right style="medium">
        <color indexed="46"/>
      </right>
      <top style="medium">
        <color indexed="46"/>
      </top>
      <bottom style="medium">
        <color indexed="46"/>
      </bottom>
      <diagonal/>
    </border>
    <border>
      <left style="thin">
        <color indexed="64"/>
      </left>
      <right/>
      <top style="medium">
        <color indexed="48"/>
      </top>
      <bottom style="medium">
        <color indexed="48"/>
      </bottom>
      <diagonal/>
    </border>
    <border>
      <left style="thin">
        <color indexed="64"/>
      </left>
      <right/>
      <top style="medium">
        <color indexed="46"/>
      </top>
      <bottom style="medium">
        <color indexed="46"/>
      </bottom>
      <diagonal/>
    </border>
    <border>
      <left style="thin">
        <color indexed="64"/>
      </left>
      <right/>
      <top style="medium">
        <color indexed="48"/>
      </top>
      <bottom/>
      <diagonal/>
    </border>
    <border>
      <left/>
      <right/>
      <top style="medium">
        <color indexed="46"/>
      </top>
      <bottom/>
      <diagonal/>
    </border>
    <border>
      <left style="medium">
        <color indexed="50"/>
      </left>
      <right/>
      <top style="medium">
        <color indexed="50"/>
      </top>
      <bottom style="medium">
        <color indexed="50"/>
      </bottom>
      <diagonal/>
    </border>
    <border>
      <left/>
      <right/>
      <top style="medium">
        <color indexed="50"/>
      </top>
      <bottom style="medium">
        <color indexed="50"/>
      </bottom>
      <diagonal/>
    </border>
    <border>
      <left/>
      <right style="medium">
        <color indexed="50"/>
      </right>
      <top style="medium">
        <color indexed="50"/>
      </top>
      <bottom style="medium">
        <color indexed="50"/>
      </bottom>
      <diagonal/>
    </border>
    <border>
      <left style="thin">
        <color indexed="64"/>
      </left>
      <right/>
      <top/>
      <bottom style="medium">
        <color indexed="50"/>
      </bottom>
      <diagonal/>
    </border>
    <border>
      <left style="thin">
        <color indexed="64"/>
      </left>
      <right/>
      <top style="medium">
        <color indexed="50"/>
      </top>
      <bottom style="medium">
        <color indexed="50"/>
      </bottom>
      <diagonal/>
    </border>
    <border>
      <left/>
      <right/>
      <top style="medium">
        <color indexed="50"/>
      </top>
      <bottom/>
      <diagonal/>
    </border>
    <border>
      <left/>
      <right/>
      <top style="medium">
        <color indexed="61"/>
      </top>
      <bottom style="medium">
        <color indexed="61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ck">
        <color indexed="22"/>
      </left>
      <right style="medium">
        <color indexed="22"/>
      </right>
      <top style="thick">
        <color indexed="22"/>
      </top>
      <bottom style="medium">
        <color indexed="22"/>
      </bottom>
      <diagonal/>
    </border>
    <border>
      <left style="medium">
        <color indexed="22"/>
      </left>
      <right style="medium">
        <color indexed="22"/>
      </right>
      <top style="thick">
        <color indexed="22"/>
      </top>
      <bottom style="medium">
        <color indexed="22"/>
      </bottom>
      <diagonal/>
    </border>
    <border>
      <left style="medium">
        <color indexed="22"/>
      </left>
      <right style="thick">
        <color indexed="22"/>
      </right>
      <top style="thick">
        <color indexed="22"/>
      </top>
      <bottom style="medium">
        <color indexed="22"/>
      </bottom>
      <diagonal/>
    </border>
    <border>
      <left style="thick">
        <color indexed="22"/>
      </left>
      <right style="medium">
        <color indexed="22"/>
      </right>
      <top style="medium">
        <color indexed="22"/>
      </top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/>
      <diagonal/>
    </border>
    <border>
      <left style="medium">
        <color indexed="22"/>
      </left>
      <right style="thick">
        <color indexed="22"/>
      </right>
      <top style="medium">
        <color indexed="22"/>
      </top>
      <bottom/>
      <diagonal/>
    </border>
    <border>
      <left style="thick">
        <color indexed="22"/>
      </left>
      <right style="medium">
        <color indexed="22"/>
      </right>
      <top style="thick">
        <color indexed="22"/>
      </top>
      <bottom style="thick">
        <color indexed="22"/>
      </bottom>
      <diagonal/>
    </border>
    <border>
      <left style="medium">
        <color indexed="22"/>
      </left>
      <right style="medium">
        <color indexed="22"/>
      </right>
      <top style="thick">
        <color indexed="22"/>
      </top>
      <bottom style="thick">
        <color indexed="22"/>
      </bottom>
      <diagonal/>
    </border>
    <border>
      <left style="medium">
        <color indexed="22"/>
      </left>
      <right style="thick">
        <color indexed="22"/>
      </right>
      <top style="thick">
        <color indexed="22"/>
      </top>
      <bottom style="thick">
        <color indexed="22"/>
      </bottom>
      <diagonal/>
    </border>
    <border>
      <left style="thick">
        <color indexed="22"/>
      </left>
      <right style="medium">
        <color indexed="22"/>
      </right>
      <top/>
      <bottom style="medium">
        <color indexed="22"/>
      </bottom>
      <diagonal/>
    </border>
    <border>
      <left style="medium">
        <color indexed="22"/>
      </left>
      <right style="medium">
        <color indexed="22"/>
      </right>
      <top/>
      <bottom style="medium">
        <color indexed="22"/>
      </bottom>
      <diagonal/>
    </border>
    <border>
      <left style="medium">
        <color indexed="22"/>
      </left>
      <right style="thick">
        <color indexed="22"/>
      </right>
      <top/>
      <bottom style="medium">
        <color indexed="22"/>
      </bottom>
      <diagonal/>
    </border>
    <border>
      <left style="thick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thick">
        <color indexed="22"/>
      </right>
      <top style="medium">
        <color indexed="22"/>
      </top>
      <bottom style="medium">
        <color indexed="22"/>
      </bottom>
      <diagonal/>
    </border>
    <border>
      <left style="thick">
        <color indexed="22"/>
      </left>
      <right style="medium">
        <color indexed="22"/>
      </right>
      <top style="medium">
        <color indexed="22"/>
      </top>
      <bottom style="thick">
        <color indexed="22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thick">
        <color indexed="22"/>
      </bottom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  <border>
      <left/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medium">
        <color indexed="22"/>
      </right>
      <top/>
      <bottom/>
      <diagonal/>
    </border>
    <border>
      <left style="medium">
        <color indexed="22"/>
      </left>
      <right style="medium">
        <color indexed="22"/>
      </right>
      <top/>
      <bottom style="thick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44">
    <xf numFmtId="0" fontId="0" fillId="0" borderId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1" fillId="0" borderId="1" applyNumberFormat="0" applyFill="0" applyAlignment="0" applyProtection="0"/>
    <xf numFmtId="0" fontId="32" fillId="3" borderId="0" applyNumberFormat="0" applyBorder="0" applyAlignment="0" applyProtection="0"/>
    <xf numFmtId="0" fontId="33" fillId="16" borderId="2" applyNumberFormat="0" applyAlignment="0" applyProtection="0"/>
    <xf numFmtId="0" fontId="34" fillId="0" borderId="3" applyNumberFormat="0" applyFill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17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29" fillId="18" borderId="6" applyNumberFormat="0" applyFont="0" applyAlignment="0" applyProtection="0"/>
    <xf numFmtId="0" fontId="39" fillId="0" borderId="7" applyNumberFormat="0" applyFill="0" applyAlignment="0" applyProtection="0"/>
    <xf numFmtId="0" fontId="40" fillId="4" borderId="0" applyNumberFormat="0" applyBorder="0" applyAlignment="0" applyProtection="0"/>
    <xf numFmtId="0" fontId="41" fillId="0" borderId="0" applyNumberFormat="0" applyFill="0" applyBorder="0" applyAlignment="0" applyProtection="0"/>
    <xf numFmtId="0" fontId="42" fillId="7" borderId="8" applyNumberFormat="0" applyAlignment="0" applyProtection="0"/>
    <xf numFmtId="0" fontId="43" fillId="19" borderId="8" applyNumberFormat="0" applyAlignment="0" applyProtection="0"/>
    <xf numFmtId="0" fontId="44" fillId="19" borderId="9" applyNumberFormat="0" applyAlignment="0" applyProtection="0"/>
    <xf numFmtId="0" fontId="45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23" borderId="0" applyNumberFormat="0" applyBorder="0" applyAlignment="0" applyProtection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23" borderId="0" applyNumberFormat="0" applyBorder="0" applyAlignment="0" applyProtection="0"/>
    <xf numFmtId="0" fontId="32" fillId="3" borderId="0" applyNumberFormat="0" applyBorder="0" applyAlignment="0" applyProtection="0"/>
    <xf numFmtId="0" fontId="43" fillId="19" borderId="8" applyNumberFormat="0" applyAlignment="0" applyProtection="0"/>
    <xf numFmtId="0" fontId="45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34" fillId="0" borderId="3" applyNumberFormat="0" applyFill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36" fillId="0" borderId="0" applyNumberFormat="0" applyFill="0" applyBorder="0" applyAlignment="0" applyProtection="0"/>
    <xf numFmtId="0" fontId="33" fillId="16" borderId="2" applyNumberFormat="0" applyAlignment="0" applyProtection="0"/>
    <xf numFmtId="0" fontId="42" fillId="7" borderId="8" applyNumberFormat="0" applyAlignment="0" applyProtection="0"/>
    <xf numFmtId="0" fontId="39" fillId="0" borderId="7" applyNumberFormat="0" applyFill="0" applyAlignment="0" applyProtection="0"/>
    <xf numFmtId="0" fontId="38" fillId="17" borderId="0" applyNumberFormat="0" applyBorder="0" applyAlignment="0" applyProtection="0"/>
    <xf numFmtId="0" fontId="6" fillId="0" borderId="0"/>
    <xf numFmtId="0" fontId="15" fillId="0" borderId="0"/>
    <xf numFmtId="0" fontId="15" fillId="0" borderId="0"/>
    <xf numFmtId="0" fontId="12" fillId="0" borderId="0"/>
    <xf numFmtId="0" fontId="6" fillId="0" borderId="0"/>
    <xf numFmtId="0" fontId="12" fillId="18" borderId="6" applyNumberFormat="0" applyFont="0" applyAlignment="0" applyProtection="0"/>
    <xf numFmtId="0" fontId="44" fillId="19" borderId="9" applyNumberFormat="0" applyAlignment="0" applyProtection="0"/>
    <xf numFmtId="0" fontId="37" fillId="0" borderId="0" applyNumberFormat="0" applyFill="0" applyBorder="0" applyAlignment="0" applyProtection="0"/>
    <xf numFmtId="0" fontId="31" fillId="0" borderId="1" applyNumberFormat="0" applyFill="0" applyAlignment="0" applyProtection="0"/>
    <xf numFmtId="0" fontId="41" fillId="0" borderId="0" applyNumberFormat="0" applyFill="0" applyBorder="0" applyAlignment="0" applyProtection="0"/>
    <xf numFmtId="0" fontId="12" fillId="0" borderId="0"/>
    <xf numFmtId="0" fontId="48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1" fillId="0" borderId="1" applyNumberFormat="0" applyFill="0" applyAlignment="0" applyProtection="0"/>
    <xf numFmtId="0" fontId="32" fillId="3" borderId="0" applyNumberFormat="0" applyBorder="0" applyAlignment="0" applyProtection="0"/>
    <xf numFmtId="0" fontId="33" fillId="16" borderId="2" applyNumberFormat="0" applyAlignment="0" applyProtection="0"/>
    <xf numFmtId="0" fontId="34" fillId="0" borderId="3" applyNumberFormat="0" applyFill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17" borderId="0" applyNumberFormat="0" applyBorder="0" applyAlignment="0" applyProtection="0"/>
    <xf numFmtId="0" fontId="29" fillId="18" borderId="6" applyNumberFormat="0" applyFont="0" applyAlignment="0" applyProtection="0"/>
    <xf numFmtId="0" fontId="39" fillId="0" borderId="7" applyNumberFormat="0" applyFill="0" applyAlignment="0" applyProtection="0"/>
    <xf numFmtId="0" fontId="40" fillId="4" borderId="0" applyNumberFormat="0" applyBorder="0" applyAlignment="0" applyProtection="0"/>
    <xf numFmtId="0" fontId="41" fillId="0" borderId="0" applyNumberFormat="0" applyFill="0" applyBorder="0" applyAlignment="0" applyProtection="0"/>
    <xf numFmtId="0" fontId="42" fillId="7" borderId="8" applyNumberFormat="0" applyAlignment="0" applyProtection="0"/>
    <xf numFmtId="0" fontId="43" fillId="19" borderId="8" applyNumberFormat="0" applyAlignment="0" applyProtection="0"/>
    <xf numFmtId="0" fontId="44" fillId="19" borderId="9" applyNumberFormat="0" applyAlignment="0" applyProtection="0"/>
    <xf numFmtId="0" fontId="45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23" borderId="0" applyNumberFormat="0" applyBorder="0" applyAlignment="0" applyProtection="0"/>
    <xf numFmtId="0" fontId="4" fillId="0" borderId="0"/>
    <xf numFmtId="0" fontId="3" fillId="0" borderId="0"/>
    <xf numFmtId="0" fontId="98" fillId="31" borderId="0" applyNumberFormat="0" applyBorder="0" applyAlignment="0" applyProtection="0"/>
    <xf numFmtId="0" fontId="98" fillId="32" borderId="0" applyNumberFormat="0" applyBorder="0" applyAlignment="0" applyProtection="0"/>
    <xf numFmtId="0" fontId="99" fillId="33" borderId="0" applyNumberFormat="0" applyBorder="0" applyAlignment="0" applyProtection="0"/>
    <xf numFmtId="0" fontId="98" fillId="34" borderId="0" applyNumberFormat="0" applyBorder="0" applyAlignment="0" applyProtection="0"/>
    <xf numFmtId="0" fontId="98" fillId="35" borderId="0" applyNumberFormat="0" applyBorder="0" applyAlignment="0" applyProtection="0"/>
    <xf numFmtId="0" fontId="99" fillId="36" borderId="0" applyNumberFormat="0" applyBorder="0" applyAlignment="0" applyProtection="0"/>
    <xf numFmtId="0" fontId="98" fillId="37" borderId="0" applyNumberFormat="0" applyBorder="0" applyAlignment="0" applyProtection="0"/>
    <xf numFmtId="0" fontId="98" fillId="38" borderId="0" applyNumberFormat="0" applyBorder="0" applyAlignment="0" applyProtection="0"/>
    <xf numFmtId="0" fontId="99" fillId="39" borderId="0" applyNumberFormat="0" applyBorder="0" applyAlignment="0" applyProtection="0"/>
    <xf numFmtId="0" fontId="98" fillId="34" borderId="0" applyNumberFormat="0" applyBorder="0" applyAlignment="0" applyProtection="0"/>
    <xf numFmtId="0" fontId="98" fillId="40" borderId="0" applyNumberFormat="0" applyBorder="0" applyAlignment="0" applyProtection="0"/>
    <xf numFmtId="0" fontId="99" fillId="35" borderId="0" applyNumberFormat="0" applyBorder="0" applyAlignment="0" applyProtection="0"/>
    <xf numFmtId="0" fontId="98" fillId="41" borderId="0" applyNumberFormat="0" applyBorder="0" applyAlignment="0" applyProtection="0"/>
    <xf numFmtId="0" fontId="98" fillId="42" borderId="0" applyNumberFormat="0" applyBorder="0" applyAlignment="0" applyProtection="0"/>
    <xf numFmtId="0" fontId="99" fillId="33" borderId="0" applyNumberFormat="0" applyBorder="0" applyAlignment="0" applyProtection="0"/>
    <xf numFmtId="0" fontId="98" fillId="43" borderId="0" applyNumberFormat="0" applyBorder="0" applyAlignment="0" applyProtection="0"/>
    <xf numFmtId="0" fontId="98" fillId="44" borderId="0" applyNumberFormat="0" applyBorder="0" applyAlignment="0" applyProtection="0"/>
    <xf numFmtId="0" fontId="99" fillId="45" borderId="0" applyNumberFormat="0" applyBorder="0" applyAlignment="0" applyProtection="0"/>
    <xf numFmtId="164" fontId="6" fillId="0" borderId="0"/>
    <xf numFmtId="0" fontId="100" fillId="0" borderId="0">
      <protection locked="0"/>
    </xf>
    <xf numFmtId="0" fontId="100" fillId="0" borderId="0">
      <protection locked="0"/>
    </xf>
    <xf numFmtId="165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100" fillId="0" borderId="0">
      <protection locked="0"/>
    </xf>
    <xf numFmtId="0" fontId="101" fillId="46" borderId="0" applyNumberFormat="0" applyBorder="0" applyAlignment="0" applyProtection="0"/>
    <xf numFmtId="0" fontId="101" fillId="47" borderId="0" applyNumberFormat="0" applyBorder="0" applyAlignment="0" applyProtection="0"/>
    <xf numFmtId="0" fontId="101" fillId="48" borderId="0" applyNumberFormat="0" applyBorder="0" applyAlignment="0" applyProtection="0"/>
    <xf numFmtId="0" fontId="100" fillId="0" borderId="0">
      <protection locked="0"/>
    </xf>
    <xf numFmtId="0" fontId="102" fillId="0" borderId="0">
      <protection locked="0"/>
    </xf>
    <xf numFmtId="0" fontId="102" fillId="0" borderId="0">
      <protection locked="0"/>
    </xf>
    <xf numFmtId="0" fontId="6" fillId="0" borderId="0"/>
    <xf numFmtId="0" fontId="6" fillId="0" borderId="0"/>
    <xf numFmtId="0" fontId="15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00" fillId="0" borderId="0">
      <protection locked="0"/>
    </xf>
    <xf numFmtId="9" fontId="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" fontId="103" fillId="17" borderId="75" applyNumberFormat="0" applyProtection="0">
      <alignment vertical="center"/>
    </xf>
    <xf numFmtId="4" fontId="104" fillId="17" borderId="75" applyNumberFormat="0" applyProtection="0">
      <alignment vertical="center"/>
    </xf>
    <xf numFmtId="4" fontId="103" fillId="17" borderId="75" applyNumberFormat="0" applyProtection="0">
      <alignment horizontal="left" vertical="center" indent="1"/>
    </xf>
    <xf numFmtId="0" fontId="103" fillId="17" borderId="75" applyNumberFormat="0" applyProtection="0">
      <alignment horizontal="left" vertical="top" indent="1"/>
    </xf>
    <xf numFmtId="4" fontId="105" fillId="3" borderId="75" applyNumberFormat="0" applyProtection="0">
      <alignment horizontal="right" vertical="center"/>
    </xf>
    <xf numFmtId="4" fontId="105" fillId="9" borderId="75" applyNumberFormat="0" applyProtection="0">
      <alignment horizontal="right" vertical="center"/>
    </xf>
    <xf numFmtId="4" fontId="105" fillId="21" borderId="75" applyNumberFormat="0" applyProtection="0">
      <alignment horizontal="right" vertical="center"/>
    </xf>
    <xf numFmtId="4" fontId="105" fillId="11" borderId="75" applyNumberFormat="0" applyProtection="0">
      <alignment horizontal="right" vertical="center"/>
    </xf>
    <xf numFmtId="4" fontId="105" fillId="15" borderId="75" applyNumberFormat="0" applyProtection="0">
      <alignment horizontal="right" vertical="center"/>
    </xf>
    <xf numFmtId="4" fontId="105" fillId="23" borderId="75" applyNumberFormat="0" applyProtection="0">
      <alignment horizontal="right" vertical="center"/>
    </xf>
    <xf numFmtId="4" fontId="105" fillId="22" borderId="75" applyNumberFormat="0" applyProtection="0">
      <alignment horizontal="right" vertical="center"/>
    </xf>
    <xf numFmtId="4" fontId="105" fillId="49" borderId="75" applyNumberFormat="0" applyProtection="0">
      <alignment horizontal="right" vertical="center"/>
    </xf>
    <xf numFmtId="4" fontId="105" fillId="10" borderId="75" applyNumberFormat="0" applyProtection="0">
      <alignment horizontal="right" vertical="center"/>
    </xf>
    <xf numFmtId="4" fontId="103" fillId="50" borderId="76" applyNumberFormat="0" applyProtection="0">
      <alignment horizontal="left" vertical="center" indent="1"/>
    </xf>
    <xf numFmtId="0" fontId="49" fillId="0" borderId="0"/>
    <xf numFmtId="0" fontId="14" fillId="0" borderId="0">
      <alignment horizontal="left"/>
    </xf>
    <xf numFmtId="0" fontId="10" fillId="51" borderId="0"/>
    <xf numFmtId="4" fontId="105" fillId="52" borderId="0" applyNumberFormat="0" applyProtection="0">
      <alignment horizontal="left" vertical="center" indent="1"/>
    </xf>
    <xf numFmtId="4" fontId="22" fillId="53" borderId="0" applyNumberFormat="0" applyProtection="0">
      <alignment horizontal="left" vertical="center" indent="1"/>
    </xf>
    <xf numFmtId="4" fontId="105" fillId="54" borderId="75" applyNumberFormat="0" applyProtection="0">
      <alignment horizontal="right" vertical="center"/>
    </xf>
    <xf numFmtId="4" fontId="21" fillId="52" borderId="0" applyNumberFormat="0" applyProtection="0">
      <alignment horizontal="left" vertical="center" indent="1"/>
    </xf>
    <xf numFmtId="4" fontId="21" fillId="54" borderId="0" applyNumberFormat="0" applyProtection="0">
      <alignment horizontal="left" vertical="center" indent="1"/>
    </xf>
    <xf numFmtId="0" fontId="15" fillId="53" borderId="75" applyNumberFormat="0" applyProtection="0">
      <alignment horizontal="left" vertical="center" indent="1"/>
    </xf>
    <xf numFmtId="0" fontId="15" fillId="53" borderId="75" applyNumberFormat="0" applyProtection="0">
      <alignment horizontal="left" vertical="top" indent="1"/>
    </xf>
    <xf numFmtId="0" fontId="15" fillId="54" borderId="75" applyNumberFormat="0" applyProtection="0">
      <alignment horizontal="left" vertical="center" indent="1"/>
    </xf>
    <xf numFmtId="0" fontId="15" fillId="54" borderId="75" applyNumberFormat="0" applyProtection="0">
      <alignment horizontal="left" vertical="top" indent="1"/>
    </xf>
    <xf numFmtId="0" fontId="15" fillId="8" borderId="75" applyNumberFormat="0" applyProtection="0">
      <alignment horizontal="left" vertical="center" indent="1"/>
    </xf>
    <xf numFmtId="0" fontId="15" fillId="8" borderId="75" applyNumberFormat="0" applyProtection="0">
      <alignment horizontal="left" vertical="top" indent="1"/>
    </xf>
    <xf numFmtId="0" fontId="15" fillId="52" borderId="75" applyNumberFormat="0" applyProtection="0">
      <alignment horizontal="left" vertical="center" indent="1"/>
    </xf>
    <xf numFmtId="0" fontId="15" fillId="52" borderId="75" applyNumberFormat="0" applyProtection="0">
      <alignment horizontal="left" vertical="top" indent="1"/>
    </xf>
    <xf numFmtId="4" fontId="106" fillId="14" borderId="77" applyNumberFormat="0" applyProtection="0">
      <alignment horizontal="left" vertical="center" indent="1"/>
    </xf>
    <xf numFmtId="0" fontId="15" fillId="55" borderId="27" applyNumberFormat="0">
      <protection locked="0"/>
    </xf>
    <xf numFmtId="0" fontId="107" fillId="53" borderId="78" applyBorder="0"/>
    <xf numFmtId="4" fontId="105" fillId="18" borderId="75" applyNumberFormat="0" applyProtection="0">
      <alignment vertical="center"/>
    </xf>
    <xf numFmtId="4" fontId="108" fillId="18" borderId="75" applyNumberFormat="0" applyProtection="0">
      <alignment vertical="center"/>
    </xf>
    <xf numFmtId="4" fontId="105" fillId="18" borderId="75" applyNumberFormat="0" applyProtection="0">
      <alignment horizontal="left" vertical="center" indent="1"/>
    </xf>
    <xf numFmtId="0" fontId="105" fillId="18" borderId="75" applyNumberFormat="0" applyProtection="0">
      <alignment horizontal="left" vertical="top" indent="1"/>
    </xf>
    <xf numFmtId="4" fontId="106" fillId="0" borderId="77" applyNumberFormat="0" applyProtection="0">
      <alignment horizontal="right" vertical="center"/>
    </xf>
    <xf numFmtId="4" fontId="108" fillId="52" borderId="75" applyNumberFormat="0" applyProtection="0">
      <alignment horizontal="right" vertical="center"/>
    </xf>
    <xf numFmtId="4" fontId="106" fillId="14" borderId="77" applyNumberFormat="0" applyProtection="0">
      <alignment horizontal="left" vertical="center" indent="1"/>
    </xf>
    <xf numFmtId="0" fontId="105" fillId="54" borderId="75" applyNumberFormat="0" applyProtection="0">
      <alignment horizontal="left" vertical="top" indent="1"/>
    </xf>
    <xf numFmtId="4" fontId="109" fillId="56" borderId="0" applyNumberFormat="0" applyProtection="0">
      <alignment horizontal="left" vertical="center" indent="1"/>
    </xf>
    <xf numFmtId="0" fontId="106" fillId="57" borderId="27"/>
    <xf numFmtId="4" fontId="110" fillId="52" borderId="75" applyNumberFormat="0" applyProtection="0">
      <alignment horizontal="right" vertical="center"/>
    </xf>
    <xf numFmtId="0" fontId="111" fillId="0" borderId="0" applyNumberFormat="0" applyFill="0" applyBorder="0" applyAlignment="0" applyProtection="0"/>
    <xf numFmtId="0" fontId="112" fillId="0" borderId="0"/>
    <xf numFmtId="0" fontId="112" fillId="0" borderId="0"/>
    <xf numFmtId="0" fontId="112" fillId="0" borderId="0"/>
    <xf numFmtId="0" fontId="117" fillId="0" borderId="0"/>
    <xf numFmtId="0" fontId="125" fillId="0" borderId="0"/>
    <xf numFmtId="0" fontId="15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15" fillId="0" borderId="0"/>
    <xf numFmtId="0" fontId="6" fillId="0" borderId="0"/>
    <xf numFmtId="0" fontId="6" fillId="0" borderId="0"/>
    <xf numFmtId="0" fontId="172" fillId="0" borderId="0"/>
    <xf numFmtId="0" fontId="15" fillId="0" borderId="0"/>
    <xf numFmtId="0" fontId="186" fillId="0" borderId="0"/>
    <xf numFmtId="0" fontId="2" fillId="0" borderId="0"/>
    <xf numFmtId="0" fontId="1" fillId="0" borderId="0"/>
  </cellStyleXfs>
  <cellXfs count="1696">
    <xf numFmtId="0" fontId="0" fillId="0" borderId="0" xfId="0"/>
    <xf numFmtId="0" fontId="14" fillId="0" borderId="0" xfId="0" applyFont="1"/>
    <xf numFmtId="0" fontId="15" fillId="0" borderId="0" xfId="0" applyFont="1"/>
    <xf numFmtId="0" fontId="9" fillId="0" borderId="0" xfId="0" applyFont="1"/>
    <xf numFmtId="0" fontId="18" fillId="0" borderId="0" xfId="0" applyFont="1"/>
    <xf numFmtId="0" fontId="16" fillId="0" borderId="0" xfId="0" applyFont="1"/>
    <xf numFmtId="0" fontId="19" fillId="0" borderId="0" xfId="0" applyFont="1"/>
    <xf numFmtId="0" fontId="17" fillId="0" borderId="0" xfId="0" applyFont="1" applyAlignment="1"/>
    <xf numFmtId="0" fontId="16" fillId="0" borderId="0" xfId="0" applyFont="1" applyBorder="1"/>
    <xf numFmtId="0" fontId="16" fillId="0" borderId="0" xfId="0" applyFont="1" applyFill="1"/>
    <xf numFmtId="0" fontId="16" fillId="0" borderId="0" xfId="0" applyFont="1" applyFill="1" applyBorder="1"/>
    <xf numFmtId="0" fontId="6" fillId="0" borderId="0" xfId="0" applyFont="1"/>
    <xf numFmtId="0" fontId="20" fillId="0" borderId="0" xfId="0" applyFont="1"/>
    <xf numFmtId="0" fontId="18" fillId="0" borderId="0" xfId="0" applyFont="1" applyAlignment="1"/>
    <xf numFmtId="0" fontId="6" fillId="0" borderId="0" xfId="0" applyFont="1" applyAlignment="1"/>
    <xf numFmtId="0" fontId="6" fillId="0" borderId="0" xfId="0" applyFont="1" applyBorder="1"/>
    <xf numFmtId="0" fontId="15" fillId="0" borderId="0" xfId="0" applyFont="1" applyFill="1"/>
    <xf numFmtId="0" fontId="15" fillId="0" borderId="0" xfId="0" applyFont="1" applyFill="1" applyAlignment="1">
      <alignment horizontal="center"/>
    </xf>
    <xf numFmtId="0" fontId="15" fillId="0" borderId="0" xfId="0" applyFont="1" applyFill="1" applyBorder="1"/>
    <xf numFmtId="0" fontId="15" fillId="0" borderId="0" xfId="0" applyFont="1" applyBorder="1"/>
    <xf numFmtId="0" fontId="15" fillId="0" borderId="0" xfId="0" applyFont="1" applyAlignment="1">
      <alignment horizontal="centerContinuous"/>
    </xf>
    <xf numFmtId="0" fontId="15" fillId="0" borderId="0" xfId="0" applyFont="1" applyAlignment="1">
      <alignment horizontal="right"/>
    </xf>
    <xf numFmtId="0" fontId="15" fillId="0" borderId="16" xfId="0" applyFont="1" applyBorder="1"/>
    <xf numFmtId="0" fontId="15" fillId="0" borderId="10" xfId="0" applyFont="1" applyBorder="1"/>
    <xf numFmtId="0" fontId="15" fillId="0" borderId="43" xfId="0" applyFont="1" applyBorder="1"/>
    <xf numFmtId="4" fontId="15" fillId="0" borderId="10" xfId="0" applyNumberFormat="1" applyFont="1" applyBorder="1"/>
    <xf numFmtId="4" fontId="15" fillId="0" borderId="11" xfId="0" applyNumberFormat="1" applyFont="1" applyBorder="1"/>
    <xf numFmtId="0" fontId="15" fillId="0" borderId="44" xfId="0" applyFont="1" applyBorder="1"/>
    <xf numFmtId="0" fontId="15" fillId="0" borderId="14" xfId="0" applyFont="1" applyBorder="1"/>
    <xf numFmtId="0" fontId="23" fillId="0" borderId="0" xfId="29" applyFont="1" applyAlignment="1">
      <alignment vertical="center"/>
    </xf>
    <xf numFmtId="49" fontId="46" fillId="0" borderId="0" xfId="30" applyNumberFormat="1" applyFont="1" applyFill="1" applyAlignment="1" applyProtection="1">
      <alignment wrapText="1"/>
    </xf>
    <xf numFmtId="0" fontId="46" fillId="0" borderId="0" xfId="30" applyFont="1" applyFill="1" applyProtection="1"/>
    <xf numFmtId="0" fontId="23" fillId="0" borderId="0" xfId="91" applyFont="1" applyAlignment="1">
      <alignment vertical="center"/>
    </xf>
    <xf numFmtId="0" fontId="15" fillId="0" borderId="0" xfId="0" applyFont="1" applyAlignment="1"/>
    <xf numFmtId="0" fontId="23" fillId="0" borderId="0" xfId="0" applyFont="1" applyAlignment="1">
      <alignment horizontal="centerContinuous"/>
    </xf>
    <xf numFmtId="0" fontId="24" fillId="0" borderId="0" xfId="0" applyFont="1" applyAlignment="1">
      <alignment horizontal="centerContinuous"/>
    </xf>
    <xf numFmtId="0" fontId="15" fillId="0" borderId="18" xfId="0" applyFont="1" applyBorder="1"/>
    <xf numFmtId="0" fontId="15" fillId="0" borderId="12" xfId="0" applyFont="1" applyBorder="1"/>
    <xf numFmtId="0" fontId="15" fillId="0" borderId="13" xfId="0" applyFont="1" applyBorder="1"/>
    <xf numFmtId="0" fontId="15" fillId="0" borderId="37" xfId="0" applyFont="1" applyBorder="1" applyAlignment="1">
      <alignment horizontal="centerContinuous"/>
    </xf>
    <xf numFmtId="0" fontId="15" fillId="0" borderId="36" xfId="0" applyFont="1" applyBorder="1" applyAlignment="1">
      <alignment horizontal="centerContinuous"/>
    </xf>
    <xf numFmtId="0" fontId="15" fillId="0" borderId="13" xfId="0" applyFont="1" applyBorder="1" applyAlignment="1">
      <alignment horizontal="centerContinuous"/>
    </xf>
    <xf numFmtId="0" fontId="15" fillId="0" borderId="15" xfId="0" applyFont="1" applyBorder="1"/>
    <xf numFmtId="0" fontId="15" fillId="0" borderId="23" xfId="0" applyFont="1" applyBorder="1" applyAlignment="1">
      <alignment horizontal="centerContinuous"/>
    </xf>
    <xf numFmtId="0" fontId="15" fillId="0" borderId="24" xfId="0" applyFont="1" applyBorder="1" applyAlignment="1">
      <alignment horizontal="centerContinuous"/>
    </xf>
    <xf numFmtId="0" fontId="15" fillId="0" borderId="15" xfId="0" applyFont="1" applyBorder="1" applyAlignment="1">
      <alignment horizontal="centerContinuous"/>
    </xf>
    <xf numFmtId="0" fontId="15" fillId="0" borderId="11" xfId="0" applyFont="1" applyBorder="1"/>
    <xf numFmtId="0" fontId="15" fillId="0" borderId="43" xfId="0" applyFont="1" applyBorder="1" applyAlignment="1">
      <alignment wrapText="1"/>
    </xf>
    <xf numFmtId="0" fontId="15" fillId="0" borderId="0" xfId="0" applyFont="1" applyBorder="1" applyAlignment="1">
      <alignment wrapText="1"/>
    </xf>
    <xf numFmtId="0" fontId="15" fillId="0" borderId="11" xfId="0" applyFont="1" applyBorder="1" applyAlignment="1">
      <alignment wrapText="1"/>
    </xf>
    <xf numFmtId="0" fontId="26" fillId="0" borderId="0" xfId="0" applyFont="1" applyFill="1" applyBorder="1"/>
    <xf numFmtId="0" fontId="26" fillId="0" borderId="0" xfId="0" applyFont="1" applyFill="1"/>
    <xf numFmtId="0" fontId="26" fillId="0" borderId="0" xfId="0" applyFont="1" applyFill="1" applyBorder="1" applyAlignment="1">
      <alignment horizontal="center"/>
    </xf>
    <xf numFmtId="0" fontId="27" fillId="0" borderId="0" xfId="0" applyFont="1" applyAlignment="1">
      <alignment horizontal="centerContinuous"/>
    </xf>
    <xf numFmtId="0" fontId="27" fillId="0" borderId="0" xfId="0" applyFont="1"/>
    <xf numFmtId="0" fontId="10" fillId="0" borderId="0" xfId="0" applyFont="1" applyAlignment="1">
      <alignment horizontal="centerContinuous"/>
    </xf>
    <xf numFmtId="0" fontId="14" fillId="0" borderId="0" xfId="0" applyFont="1" applyAlignment="1">
      <alignment horizontal="centerContinuous"/>
    </xf>
    <xf numFmtId="0" fontId="10" fillId="0" borderId="18" xfId="0" applyFont="1" applyBorder="1"/>
    <xf numFmtId="0" fontId="15" fillId="0" borderId="38" xfId="0" applyFont="1" applyBorder="1" applyAlignment="1">
      <alignment horizontal="centerContinuous"/>
    </xf>
    <xf numFmtId="0" fontId="15" fillId="0" borderId="39" xfId="0" applyFont="1" applyBorder="1" applyAlignment="1">
      <alignment horizontal="centerContinuous"/>
    </xf>
    <xf numFmtId="0" fontId="15" fillId="0" borderId="12" xfId="0" applyFont="1" applyBorder="1" applyAlignment="1">
      <alignment horizontal="centerContinuous"/>
    </xf>
    <xf numFmtId="0" fontId="15" fillId="0" borderId="14" xfId="0" applyFont="1" applyBorder="1" applyAlignment="1">
      <alignment horizontal="centerContinuous"/>
    </xf>
    <xf numFmtId="0" fontId="15" fillId="0" borderId="16" xfId="0" applyFont="1" applyBorder="1" applyAlignment="1">
      <alignment horizontal="centerContinuous"/>
    </xf>
    <xf numFmtId="0" fontId="27" fillId="0" borderId="0" xfId="0" applyFont="1" applyAlignment="1">
      <alignment horizontal="right"/>
    </xf>
    <xf numFmtId="0" fontId="6" fillId="0" borderId="0" xfId="0" applyFont="1" applyFill="1"/>
    <xf numFmtId="0" fontId="19" fillId="0" borderId="0" xfId="0" applyFont="1" applyFill="1"/>
    <xf numFmtId="0" fontId="51" fillId="0" borderId="0" xfId="0" applyFont="1" applyFill="1" applyAlignment="1">
      <alignment horizontal="centerContinuous"/>
    </xf>
    <xf numFmtId="0" fontId="51" fillId="0" borderId="0" xfId="0" applyFont="1"/>
    <xf numFmtId="0" fontId="52" fillId="0" borderId="0" xfId="0" applyFont="1" applyAlignment="1">
      <alignment horizontal="center" wrapText="1"/>
    </xf>
    <xf numFmtId="0" fontId="53" fillId="0" borderId="0" xfId="0" applyFont="1" applyAlignment="1">
      <alignment wrapText="1"/>
    </xf>
    <xf numFmtId="0" fontId="54" fillId="0" borderId="0" xfId="0" applyFont="1" applyAlignment="1">
      <alignment horizontal="centerContinuous" wrapText="1"/>
    </xf>
    <xf numFmtId="0" fontId="53" fillId="0" borderId="0" xfId="0" applyFont="1" applyAlignment="1">
      <alignment horizontal="centerContinuous" wrapText="1"/>
    </xf>
    <xf numFmtId="0" fontId="0" fillId="0" borderId="0" xfId="0" applyAlignment="1">
      <alignment wrapText="1"/>
    </xf>
    <xf numFmtId="0" fontId="55" fillId="0" borderId="0" xfId="0" applyFont="1" applyAlignment="1">
      <alignment horizontal="centerContinuous" wrapText="1"/>
    </xf>
    <xf numFmtId="0" fontId="55" fillId="0" borderId="0" xfId="0" applyFont="1" applyAlignment="1">
      <alignment wrapText="1"/>
    </xf>
    <xf numFmtId="0" fontId="56" fillId="0" borderId="0" xfId="0" applyFont="1" applyAlignment="1">
      <alignment wrapText="1"/>
    </xf>
    <xf numFmtId="0" fontId="57" fillId="0" borderId="0" xfId="0" applyFont="1" applyAlignment="1">
      <alignment horizontal="centerContinuous" wrapText="1"/>
    </xf>
    <xf numFmtId="0" fontId="56" fillId="0" borderId="0" xfId="0" applyFont="1" applyAlignment="1">
      <alignment horizontal="centerContinuous" wrapText="1"/>
    </xf>
    <xf numFmtId="0" fontId="52" fillId="0" borderId="0" xfId="0" applyFont="1" applyAlignment="1">
      <alignment horizontal="center"/>
    </xf>
    <xf numFmtId="0" fontId="58" fillId="0" borderId="0" xfId="0" applyFont="1"/>
    <xf numFmtId="0" fontId="58" fillId="0" borderId="0" xfId="0" applyFont="1" applyFill="1"/>
    <xf numFmtId="0" fontId="59" fillId="25" borderId="28" xfId="0" applyFont="1" applyFill="1" applyBorder="1" applyAlignment="1">
      <alignment horizontal="centerContinuous"/>
    </xf>
    <xf numFmtId="0" fontId="60" fillId="25" borderId="30" xfId="0" applyFont="1" applyFill="1" applyBorder="1" applyAlignment="1">
      <alignment horizontal="centerContinuous"/>
    </xf>
    <xf numFmtId="0" fontId="61" fillId="25" borderId="29" xfId="0" applyFont="1" applyFill="1" applyBorder="1" applyAlignment="1">
      <alignment horizontal="centerContinuous"/>
    </xf>
    <xf numFmtId="0" fontId="55" fillId="0" borderId="0" xfId="0" applyFont="1"/>
    <xf numFmtId="0" fontId="0" fillId="0" borderId="0" xfId="0" applyBorder="1"/>
    <xf numFmtId="0" fontId="0" fillId="0" borderId="14" xfId="0" applyBorder="1"/>
    <xf numFmtId="0" fontId="19" fillId="0" borderId="29" xfId="0" applyFont="1" applyBorder="1" applyAlignment="1">
      <alignment horizontal="centerContinuous"/>
    </xf>
    <xf numFmtId="0" fontId="58" fillId="0" borderId="30" xfId="0" applyFont="1" applyBorder="1"/>
    <xf numFmtId="0" fontId="58" fillId="0" borderId="14" xfId="0" applyFont="1" applyBorder="1"/>
    <xf numFmtId="0" fontId="19" fillId="0" borderId="14" xfId="0" applyFont="1" applyBorder="1"/>
    <xf numFmtId="0" fontId="55" fillId="0" borderId="14" xfId="0" applyFont="1" applyBorder="1"/>
    <xf numFmtId="0" fontId="47" fillId="26" borderId="0" xfId="0" applyFont="1" applyFill="1" applyAlignment="1">
      <alignment horizontal="center"/>
    </xf>
    <xf numFmtId="0" fontId="0" fillId="26" borderId="0" xfId="0" applyFill="1"/>
    <xf numFmtId="0" fontId="0" fillId="26" borderId="0" xfId="0" applyFill="1" applyBorder="1"/>
    <xf numFmtId="0" fontId="58" fillId="26" borderId="10" xfId="0" applyFont="1" applyFill="1" applyBorder="1"/>
    <xf numFmtId="0" fontId="58" fillId="26" borderId="0" xfId="0" applyFont="1" applyFill="1" applyBorder="1"/>
    <xf numFmtId="0" fontId="58" fillId="26" borderId="31" xfId="0" applyFont="1" applyFill="1" applyBorder="1"/>
    <xf numFmtId="0" fontId="55" fillId="26" borderId="10" xfId="0" applyFont="1" applyFill="1" applyBorder="1" applyAlignment="1">
      <alignment horizontal="centerContinuous"/>
    </xf>
    <xf numFmtId="0" fontId="58" fillId="0" borderId="0" xfId="0" applyFont="1" applyBorder="1"/>
    <xf numFmtId="0" fontId="58" fillId="0" borderId="10" xfId="0" applyFont="1" applyBorder="1"/>
    <xf numFmtId="0" fontId="19" fillId="0" borderId="10" xfId="0" applyFont="1" applyBorder="1"/>
    <xf numFmtId="0" fontId="55" fillId="26" borderId="0" xfId="0" applyFont="1" applyFill="1"/>
    <xf numFmtId="0" fontId="58" fillId="26" borderId="0" xfId="0" applyFont="1" applyFill="1"/>
    <xf numFmtId="0" fontId="69" fillId="0" borderId="0" xfId="0" applyFont="1"/>
    <xf numFmtId="0" fontId="0" fillId="26" borderId="48" xfId="0" applyFill="1" applyBorder="1"/>
    <xf numFmtId="0" fontId="58" fillId="26" borderId="48" xfId="0" applyFont="1" applyFill="1" applyBorder="1"/>
    <xf numFmtId="0" fontId="58" fillId="0" borderId="43" xfId="0" applyFont="1" applyBorder="1"/>
    <xf numFmtId="0" fontId="52" fillId="26" borderId="0" xfId="0" applyFont="1" applyFill="1" applyAlignment="1">
      <alignment horizontal="center"/>
    </xf>
    <xf numFmtId="0" fontId="70" fillId="25" borderId="49" xfId="0" applyFont="1" applyFill="1" applyBorder="1" applyAlignment="1">
      <alignment horizontal="centerContinuous" wrapText="1"/>
    </xf>
    <xf numFmtId="0" fontId="71" fillId="25" borderId="0" xfId="0" applyFont="1" applyFill="1" applyAlignment="1">
      <alignment horizontal="centerContinuous"/>
    </xf>
    <xf numFmtId="0" fontId="71" fillId="25" borderId="10" xfId="0" applyFont="1" applyFill="1" applyBorder="1" applyAlignment="1">
      <alignment horizontal="centerContinuous"/>
    </xf>
    <xf numFmtId="0" fontId="72" fillId="26" borderId="51" xfId="0" applyFont="1" applyFill="1" applyBorder="1" applyAlignment="1"/>
    <xf numFmtId="0" fontId="72" fillId="26" borderId="12" xfId="0" applyFont="1" applyFill="1" applyBorder="1"/>
    <xf numFmtId="0" fontId="73" fillId="26" borderId="0" xfId="0" applyFont="1" applyFill="1"/>
    <xf numFmtId="0" fontId="74" fillId="26" borderId="52" xfId="0" applyFont="1" applyFill="1" applyBorder="1" applyAlignment="1">
      <alignment horizontal="centerContinuous"/>
    </xf>
    <xf numFmtId="0" fontId="75" fillId="26" borderId="0" xfId="0" applyFont="1" applyFill="1"/>
    <xf numFmtId="0" fontId="19" fillId="26" borderId="52" xfId="0" applyFont="1" applyFill="1" applyBorder="1" applyAlignment="1">
      <alignment horizontal="centerContinuous"/>
    </xf>
    <xf numFmtId="0" fontId="27" fillId="0" borderId="10" xfId="0" applyFont="1" applyBorder="1"/>
    <xf numFmtId="0" fontId="0" fillId="25" borderId="49" xfId="0" applyFill="1" applyBorder="1"/>
    <xf numFmtId="0" fontId="67" fillId="0" borderId="54" xfId="0" applyFont="1" applyFill="1" applyBorder="1" applyAlignment="1">
      <alignment horizontal="centerContinuous" vertical="center"/>
    </xf>
    <xf numFmtId="0" fontId="19" fillId="0" borderId="55" xfId="0" applyFont="1" applyBorder="1" applyAlignment="1">
      <alignment horizontal="centerContinuous" vertical="center"/>
    </xf>
    <xf numFmtId="0" fontId="77" fillId="25" borderId="12" xfId="0" applyFont="1" applyFill="1" applyBorder="1"/>
    <xf numFmtId="0" fontId="78" fillId="25" borderId="33" xfId="0" applyFont="1" applyFill="1" applyBorder="1"/>
    <xf numFmtId="0" fontId="78" fillId="25" borderId="12" xfId="0" applyFont="1" applyFill="1" applyBorder="1"/>
    <xf numFmtId="0" fontId="61" fillId="25" borderId="12" xfId="0" applyFont="1" applyFill="1" applyBorder="1"/>
    <xf numFmtId="0" fontId="0" fillId="25" borderId="53" xfId="0" applyFill="1" applyBorder="1"/>
    <xf numFmtId="0" fontId="19" fillId="26" borderId="0" xfId="0" applyFont="1" applyFill="1"/>
    <xf numFmtId="0" fontId="27" fillId="0" borderId="62" xfId="0" applyFont="1" applyBorder="1"/>
    <xf numFmtId="0" fontId="27" fillId="0" borderId="63" xfId="0" applyFont="1" applyBorder="1" applyAlignment="1">
      <alignment horizontal="centerContinuous"/>
    </xf>
    <xf numFmtId="0" fontId="79" fillId="25" borderId="0" xfId="0" applyFont="1" applyFill="1" applyBorder="1"/>
    <xf numFmtId="0" fontId="80" fillId="25" borderId="10" xfId="0" applyFont="1" applyFill="1" applyBorder="1"/>
    <xf numFmtId="0" fontId="80" fillId="25" borderId="0" xfId="0" applyFont="1" applyFill="1" applyBorder="1"/>
    <xf numFmtId="0" fontId="61" fillId="25" borderId="0" xfId="0" applyFont="1" applyFill="1" applyAlignment="1">
      <alignment horizontal="centerContinuous"/>
    </xf>
    <xf numFmtId="0" fontId="61" fillId="25" borderId="10" xfId="0" applyFont="1" applyFill="1" applyBorder="1" applyAlignment="1">
      <alignment horizontal="centerContinuous"/>
    </xf>
    <xf numFmtId="0" fontId="82" fillId="0" borderId="0" xfId="0" applyFont="1" applyBorder="1" applyAlignment="1">
      <alignment horizontal="centerContinuous"/>
    </xf>
    <xf numFmtId="0" fontId="27" fillId="0" borderId="10" xfId="0" applyFont="1" applyBorder="1" applyAlignment="1">
      <alignment horizontal="centerContinuous"/>
    </xf>
    <xf numFmtId="0" fontId="10" fillId="25" borderId="12" xfId="0" applyFont="1" applyFill="1" applyBorder="1" applyAlignment="1"/>
    <xf numFmtId="0" fontId="10" fillId="25" borderId="33" xfId="0" applyFont="1" applyFill="1" applyBorder="1" applyAlignment="1"/>
    <xf numFmtId="0" fontId="10" fillId="25" borderId="0" xfId="0" applyFont="1" applyFill="1" applyBorder="1" applyAlignment="1">
      <alignment vertical="top"/>
    </xf>
    <xf numFmtId="0" fontId="78" fillId="25" borderId="10" xfId="0" applyFont="1" applyFill="1" applyBorder="1"/>
    <xf numFmtId="0" fontId="78" fillId="25" borderId="0" xfId="0" applyFont="1" applyFill="1" applyBorder="1"/>
    <xf numFmtId="0" fontId="61" fillId="25" borderId="0" xfId="0" applyFont="1" applyFill="1" applyBorder="1"/>
    <xf numFmtId="0" fontId="27" fillId="0" borderId="64" xfId="0" applyFont="1" applyBorder="1"/>
    <xf numFmtId="0" fontId="27" fillId="0" borderId="65" xfId="0" applyFont="1" applyBorder="1"/>
    <xf numFmtId="0" fontId="61" fillId="0" borderId="0" xfId="0" applyFont="1"/>
    <xf numFmtId="0" fontId="61" fillId="25" borderId="53" xfId="0" applyFont="1" applyFill="1" applyBorder="1"/>
    <xf numFmtId="0" fontId="61" fillId="26" borderId="0" xfId="0" applyFont="1" applyFill="1" applyBorder="1"/>
    <xf numFmtId="0" fontId="84" fillId="26" borderId="0" xfId="0" applyFont="1" applyFill="1"/>
    <xf numFmtId="0" fontId="27" fillId="0" borderId="0" xfId="0" applyFont="1" applyBorder="1"/>
    <xf numFmtId="0" fontId="61" fillId="26" borderId="49" xfId="0" applyFont="1" applyFill="1" applyBorder="1"/>
    <xf numFmtId="0" fontId="86" fillId="26" borderId="0" xfId="0" applyFont="1" applyFill="1" applyBorder="1" applyAlignment="1">
      <alignment textRotation="255"/>
    </xf>
    <xf numFmtId="0" fontId="27" fillId="0" borderId="46" xfId="0" applyFont="1" applyBorder="1"/>
    <xf numFmtId="0" fontId="87" fillId="25" borderId="0" xfId="0" applyFont="1" applyFill="1" applyBorder="1"/>
    <xf numFmtId="0" fontId="88" fillId="25" borderId="0" xfId="0" applyFont="1" applyFill="1" applyBorder="1"/>
    <xf numFmtId="0" fontId="9" fillId="0" borderId="0" xfId="0" applyFont="1" applyBorder="1"/>
    <xf numFmtId="0" fontId="89" fillId="25" borderId="0" xfId="0" applyFont="1" applyFill="1" applyBorder="1" applyAlignment="1">
      <alignment horizontal="centerContinuous"/>
    </xf>
    <xf numFmtId="0" fontId="90" fillId="25" borderId="0" xfId="0" applyFont="1" applyFill="1" applyBorder="1" applyAlignment="1">
      <alignment horizontal="centerContinuous"/>
    </xf>
    <xf numFmtId="0" fontId="61" fillId="25" borderId="0" xfId="0" applyFont="1" applyFill="1" applyBorder="1" applyAlignment="1">
      <alignment horizontal="centerContinuous"/>
    </xf>
    <xf numFmtId="0" fontId="91" fillId="26" borderId="0" xfId="0" applyFont="1" applyFill="1" applyBorder="1" applyAlignment="1">
      <alignment textRotation="255"/>
    </xf>
    <xf numFmtId="0" fontId="27" fillId="0" borderId="69" xfId="0" applyFont="1" applyBorder="1"/>
    <xf numFmtId="0" fontId="27" fillId="0" borderId="0" xfId="0" applyFont="1" applyBorder="1" applyAlignment="1">
      <alignment horizontal="centerContinuous"/>
    </xf>
    <xf numFmtId="0" fontId="91" fillId="26" borderId="0" xfId="0" applyFont="1" applyFill="1" applyBorder="1" applyAlignment="1">
      <alignment horizontal="centerContinuous"/>
    </xf>
    <xf numFmtId="0" fontId="0" fillId="26" borderId="55" xfId="0" applyFill="1" applyBorder="1"/>
    <xf numFmtId="0" fontId="27" fillId="0" borderId="70" xfId="0" applyFont="1" applyBorder="1"/>
    <xf numFmtId="0" fontId="27" fillId="0" borderId="71" xfId="0" applyFont="1" applyBorder="1"/>
    <xf numFmtId="0" fontId="92" fillId="26" borderId="52" xfId="0" applyFont="1" applyFill="1" applyBorder="1" applyAlignment="1">
      <alignment horizontal="centerContinuous"/>
    </xf>
    <xf numFmtId="0" fontId="82" fillId="0" borderId="0" xfId="0" applyFont="1" applyBorder="1"/>
    <xf numFmtId="0" fontId="55" fillId="0" borderId="0" xfId="0" applyFont="1" applyBorder="1"/>
    <xf numFmtId="0" fontId="93" fillId="0" borderId="0" xfId="0" applyFont="1" applyAlignment="1">
      <alignment horizontal="centerContinuous"/>
    </xf>
    <xf numFmtId="0" fontId="93" fillId="0" borderId="0" xfId="0" applyFont="1" applyBorder="1" applyAlignment="1">
      <alignment horizontal="centerContinuous"/>
    </xf>
    <xf numFmtId="0" fontId="92" fillId="26" borderId="72" xfId="0" applyFont="1" applyFill="1" applyBorder="1" applyAlignment="1">
      <alignment horizontal="centerContinuous"/>
    </xf>
    <xf numFmtId="0" fontId="0" fillId="25" borderId="73" xfId="0" applyFill="1" applyBorder="1"/>
    <xf numFmtId="0" fontId="89" fillId="25" borderId="48" xfId="0" applyFont="1" applyFill="1" applyBorder="1" applyAlignment="1">
      <alignment horizontal="centerContinuous"/>
    </xf>
    <xf numFmtId="0" fontId="90" fillId="25" borderId="48" xfId="0" applyFont="1" applyFill="1" applyBorder="1" applyAlignment="1">
      <alignment horizontal="centerContinuous"/>
    </xf>
    <xf numFmtId="0" fontId="61" fillId="25" borderId="48" xfId="0" applyFont="1" applyFill="1" applyBorder="1" applyAlignment="1">
      <alignment horizontal="centerContinuous"/>
    </xf>
    <xf numFmtId="0" fontId="61" fillId="25" borderId="74" xfId="0" applyFont="1" applyFill="1" applyBorder="1"/>
    <xf numFmtId="0" fontId="94" fillId="0" borderId="0" xfId="0" applyFont="1"/>
    <xf numFmtId="0" fontId="7" fillId="0" borderId="0" xfId="0" applyFont="1"/>
    <xf numFmtId="0" fontId="95" fillId="0" borderId="0" xfId="0" applyFont="1"/>
    <xf numFmtId="0" fontId="7" fillId="30" borderId="0" xfId="0" applyFont="1" applyFill="1"/>
    <xf numFmtId="0" fontId="7" fillId="0" borderId="0" xfId="0" applyFont="1" applyFill="1"/>
    <xf numFmtId="0" fontId="0" fillId="0" borderId="0" xfId="0" applyFill="1"/>
    <xf numFmtId="0" fontId="95" fillId="0" borderId="0" xfId="0" applyFont="1" applyFill="1"/>
    <xf numFmtId="0" fontId="96" fillId="0" borderId="0" xfId="0" applyFont="1" applyAlignment="1">
      <alignment horizontal="center"/>
    </xf>
    <xf numFmtId="0" fontId="97" fillId="0" borderId="0" xfId="0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13" fillId="0" borderId="0" xfId="0" applyFont="1"/>
    <xf numFmtId="0" fontId="114" fillId="0" borderId="0" xfId="0" applyFont="1"/>
    <xf numFmtId="0" fontId="115" fillId="0" borderId="0" xfId="0" applyFont="1" applyAlignment="1">
      <alignment horizontal="center"/>
    </xf>
    <xf numFmtId="0" fontId="116" fillId="0" borderId="0" xfId="0" applyFont="1"/>
    <xf numFmtId="0" fontId="0" fillId="0" borderId="0" xfId="0" applyAlignment="1">
      <alignment horizontal="right"/>
    </xf>
    <xf numFmtId="0" fontId="73" fillId="0" borderId="41" xfId="0" applyFont="1" applyBorder="1" applyAlignment="1">
      <alignment vertical="center"/>
    </xf>
    <xf numFmtId="0" fontId="73" fillId="0" borderId="22" xfId="0" applyFont="1" applyBorder="1" applyAlignment="1">
      <alignment vertical="center"/>
    </xf>
    <xf numFmtId="0" fontId="73" fillId="0" borderId="21" xfId="0" applyFont="1" applyBorder="1" applyAlignment="1">
      <alignment vertical="center"/>
    </xf>
    <xf numFmtId="0" fontId="73" fillId="0" borderId="27" xfId="0" applyFont="1" applyBorder="1" applyAlignment="1">
      <alignment vertical="center" wrapText="1"/>
    </xf>
    <xf numFmtId="0" fontId="73" fillId="0" borderId="27" xfId="0" applyFont="1" applyBorder="1" applyAlignment="1">
      <alignment horizontal="left" vertical="center" wrapText="1"/>
    </xf>
    <xf numFmtId="0" fontId="73" fillId="0" borderId="41" xfId="0" applyFont="1" applyBorder="1" applyAlignment="1">
      <alignment vertical="center" wrapText="1"/>
    </xf>
    <xf numFmtId="0" fontId="0" fillId="0" borderId="0" xfId="0" applyFont="1"/>
    <xf numFmtId="0" fontId="73" fillId="0" borderId="41" xfId="0" applyFont="1" applyFill="1" applyBorder="1" applyAlignment="1">
      <alignment vertical="center" wrapText="1"/>
    </xf>
    <xf numFmtId="0" fontId="118" fillId="0" borderId="0" xfId="230" applyFont="1" applyFill="1" applyAlignment="1">
      <alignment wrapText="1"/>
    </xf>
    <xf numFmtId="0" fontId="117" fillId="0" borderId="0" xfId="230" applyFont="1" applyFill="1"/>
    <xf numFmtId="49" fontId="119" fillId="0" borderId="0" xfId="230" applyNumberFormat="1" applyFont="1" applyFill="1" applyAlignment="1">
      <alignment horizontal="left" wrapText="1"/>
    </xf>
    <xf numFmtId="0" fontId="10" fillId="0" borderId="0" xfId="230" applyFont="1" applyFill="1"/>
    <xf numFmtId="49" fontId="49" fillId="0" borderId="83" xfId="230" applyNumberFormat="1" applyFont="1" applyFill="1" applyBorder="1" applyAlignment="1">
      <alignment horizontal="center" vertical="center" wrapText="1"/>
    </xf>
    <xf numFmtId="49" fontId="49" fillId="0" borderId="84" xfId="230" applyNumberFormat="1" applyFont="1" applyFill="1" applyBorder="1" applyAlignment="1">
      <alignment horizontal="center" vertical="center" wrapText="1"/>
    </xf>
    <xf numFmtId="0" fontId="49" fillId="0" borderId="0" xfId="230" applyFont="1" applyFill="1"/>
    <xf numFmtId="49" fontId="10" fillId="0" borderId="85" xfId="230" applyNumberFormat="1" applyFont="1" applyFill="1" applyBorder="1" applyAlignment="1">
      <alignment horizontal="left" vertical="center" wrapText="1"/>
    </xf>
    <xf numFmtId="49" fontId="13" fillId="0" borderId="86" xfId="230" applyNumberFormat="1" applyFont="1" applyFill="1" applyBorder="1" applyAlignment="1">
      <alignment horizontal="left" vertical="center" wrapText="1"/>
    </xf>
    <xf numFmtId="4" fontId="120" fillId="27" borderId="86" xfId="0" applyNumberFormat="1" applyFont="1" applyFill="1" applyBorder="1" applyAlignment="1">
      <alignment horizontal="right" vertical="center" wrapText="1"/>
    </xf>
    <xf numFmtId="4" fontId="120" fillId="27" borderId="87" xfId="0" applyNumberFormat="1" applyFont="1" applyFill="1" applyBorder="1" applyAlignment="1">
      <alignment horizontal="right" vertical="center" wrapText="1"/>
    </xf>
    <xf numFmtId="0" fontId="13" fillId="0" borderId="0" xfId="230" applyFont="1" applyFill="1"/>
    <xf numFmtId="49" fontId="13" fillId="0" borderId="85" xfId="230" applyNumberFormat="1" applyFont="1" applyFill="1" applyBorder="1" applyAlignment="1">
      <alignment horizontal="left" vertical="center" wrapText="1"/>
    </xf>
    <xf numFmtId="49" fontId="119" fillId="0" borderId="88" xfId="230" applyNumberFormat="1" applyFont="1" applyFill="1" applyBorder="1" applyAlignment="1">
      <alignment horizontal="left" vertical="center" wrapText="1"/>
    </xf>
    <xf numFmtId="49" fontId="26" fillId="0" borderId="89" xfId="230" applyNumberFormat="1" applyFont="1" applyFill="1" applyBorder="1" applyAlignment="1">
      <alignment horizontal="left" vertical="center" wrapText="1"/>
    </xf>
    <xf numFmtId="167" fontId="121" fillId="27" borderId="89" xfId="0" applyNumberFormat="1" applyFont="1" applyFill="1" applyBorder="1" applyAlignment="1">
      <alignment horizontal="right" vertical="center" wrapText="1"/>
    </xf>
    <xf numFmtId="167" fontId="121" fillId="27" borderId="90" xfId="0" applyNumberFormat="1" applyFont="1" applyFill="1" applyBorder="1" applyAlignment="1">
      <alignment horizontal="right" vertical="center" wrapText="1"/>
    </xf>
    <xf numFmtId="0" fontId="26" fillId="0" borderId="0" xfId="230" applyFont="1" applyFill="1"/>
    <xf numFmtId="49" fontId="26" fillId="0" borderId="91" xfId="230" applyNumberFormat="1" applyFont="1" applyFill="1" applyBorder="1" applyAlignment="1">
      <alignment horizontal="left" vertical="center" wrapText="1"/>
    </xf>
    <xf numFmtId="49" fontId="26" fillId="0" borderId="92" xfId="230" applyNumberFormat="1" applyFont="1" applyFill="1" applyBorder="1" applyAlignment="1">
      <alignment horizontal="left" vertical="center" wrapText="1"/>
    </xf>
    <xf numFmtId="167" fontId="121" fillId="27" borderId="92" xfId="0" applyNumberFormat="1" applyFont="1" applyFill="1" applyBorder="1" applyAlignment="1">
      <alignment horizontal="right" vertical="center" wrapText="1"/>
    </xf>
    <xf numFmtId="167" fontId="121" fillId="27" borderId="93" xfId="0" applyNumberFormat="1" applyFont="1" applyFill="1" applyBorder="1" applyAlignment="1">
      <alignment horizontal="right" vertical="center" wrapText="1"/>
    </xf>
    <xf numFmtId="49" fontId="122" fillId="0" borderId="91" xfId="230" applyNumberFormat="1" applyFont="1" applyFill="1" applyBorder="1" applyAlignment="1">
      <alignment horizontal="left" vertical="center" wrapText="1"/>
    </xf>
    <xf numFmtId="49" fontId="122" fillId="0" borderId="92" xfId="230" applyNumberFormat="1" applyFont="1" applyFill="1" applyBorder="1" applyAlignment="1">
      <alignment horizontal="left" vertical="center" wrapText="1"/>
    </xf>
    <xf numFmtId="0" fontId="122" fillId="0" borderId="0" xfId="230" applyFont="1" applyFill="1"/>
    <xf numFmtId="49" fontId="122" fillId="0" borderId="82" xfId="230" applyNumberFormat="1" applyFont="1" applyFill="1" applyBorder="1" applyAlignment="1">
      <alignment horizontal="left" vertical="center" wrapText="1"/>
    </xf>
    <xf numFmtId="49" fontId="122" fillId="0" borderId="83" xfId="230" applyNumberFormat="1" applyFont="1" applyFill="1" applyBorder="1" applyAlignment="1">
      <alignment horizontal="left" vertical="center" wrapText="1"/>
    </xf>
    <xf numFmtId="167" fontId="121" fillId="27" borderId="83" xfId="0" applyNumberFormat="1" applyFont="1" applyFill="1" applyBorder="1" applyAlignment="1">
      <alignment horizontal="right" vertical="center" wrapText="1"/>
    </xf>
    <xf numFmtId="49" fontId="119" fillId="0" borderId="79" xfId="230" applyNumberFormat="1" applyFont="1" applyFill="1" applyBorder="1" applyAlignment="1">
      <alignment horizontal="left" vertical="center" wrapText="1"/>
    </xf>
    <xf numFmtId="49" fontId="26" fillId="0" borderId="80" xfId="230" applyNumberFormat="1" applyFont="1" applyFill="1" applyBorder="1" applyAlignment="1">
      <alignment horizontal="left" vertical="center" wrapText="1"/>
    </xf>
    <xf numFmtId="167" fontId="121" fillId="27" borderId="80" xfId="0" applyNumberFormat="1" applyFont="1" applyFill="1" applyBorder="1" applyAlignment="1">
      <alignment horizontal="right" vertical="center" wrapText="1"/>
    </xf>
    <xf numFmtId="167" fontId="121" fillId="27" borderId="81" xfId="0" applyNumberFormat="1" applyFont="1" applyFill="1" applyBorder="1" applyAlignment="1">
      <alignment horizontal="right" vertical="center" wrapText="1"/>
    </xf>
    <xf numFmtId="49" fontId="26" fillId="0" borderId="82" xfId="230" applyNumberFormat="1" applyFont="1" applyFill="1" applyBorder="1" applyAlignment="1">
      <alignment horizontal="left" vertical="center" wrapText="1"/>
    </xf>
    <xf numFmtId="49" fontId="26" fillId="0" borderId="83" xfId="230" applyNumberFormat="1" applyFont="1" applyFill="1" applyBorder="1" applyAlignment="1">
      <alignment horizontal="left" vertical="center" wrapText="1"/>
    </xf>
    <xf numFmtId="167" fontId="26" fillId="0" borderId="0" xfId="230" applyNumberFormat="1" applyFont="1" applyFill="1"/>
    <xf numFmtId="167" fontId="123" fillId="27" borderId="92" xfId="0" applyNumberFormat="1" applyFont="1" applyFill="1" applyBorder="1" applyAlignment="1">
      <alignment horizontal="right" vertical="center" wrapText="1"/>
    </xf>
    <xf numFmtId="167" fontId="123" fillId="27" borderId="93" xfId="0" applyNumberFormat="1" applyFont="1" applyFill="1" applyBorder="1" applyAlignment="1">
      <alignment horizontal="right" vertical="center" wrapText="1"/>
    </xf>
    <xf numFmtId="49" fontId="122" fillId="0" borderId="92" xfId="230" applyNumberFormat="1" applyFont="1" applyFill="1" applyBorder="1" applyAlignment="1">
      <alignment horizontal="left" vertical="center" wrapText="1" indent="3"/>
    </xf>
    <xf numFmtId="49" fontId="26" fillId="0" borderId="94" xfId="230" applyNumberFormat="1" applyFont="1" applyFill="1" applyBorder="1" applyAlignment="1">
      <alignment horizontal="left" vertical="center" wrapText="1"/>
    </xf>
    <xf numFmtId="49" fontId="26" fillId="0" borderId="95" xfId="230" applyNumberFormat="1" applyFont="1" applyFill="1" applyBorder="1" applyAlignment="1">
      <alignment horizontal="left" vertical="center" wrapText="1"/>
    </xf>
    <xf numFmtId="167" fontId="121" fillId="27" borderId="95" xfId="0" applyNumberFormat="1" applyFont="1" applyFill="1" applyBorder="1" applyAlignment="1">
      <alignment horizontal="right" vertical="center" wrapText="1"/>
    </xf>
    <xf numFmtId="49" fontId="10" fillId="0" borderId="89" xfId="230" applyNumberFormat="1" applyFont="1" applyFill="1" applyBorder="1" applyAlignment="1">
      <alignment horizontal="center" vertical="center" wrapText="1"/>
    </xf>
    <xf numFmtId="168" fontId="26" fillId="0" borderId="0" xfId="230" applyNumberFormat="1" applyFont="1" applyFill="1"/>
    <xf numFmtId="167" fontId="117" fillId="0" borderId="0" xfId="230" applyNumberFormat="1" applyFont="1" applyFill="1"/>
    <xf numFmtId="4" fontId="15" fillId="0" borderId="45" xfId="0" applyNumberFormat="1" applyFont="1" applyBorder="1"/>
    <xf numFmtId="4" fontId="15" fillId="0" borderId="22" xfId="0" applyNumberFormat="1" applyFont="1" applyBorder="1"/>
    <xf numFmtId="4" fontId="15" fillId="0" borderId="23" xfId="0" applyNumberFormat="1" applyFont="1" applyBorder="1"/>
    <xf numFmtId="4" fontId="15" fillId="0" borderId="24" xfId="0" applyNumberFormat="1" applyFont="1" applyBorder="1"/>
    <xf numFmtId="4" fontId="15" fillId="0" borderId="15" xfId="0" applyNumberFormat="1" applyFont="1" applyBorder="1"/>
    <xf numFmtId="4" fontId="15" fillId="0" borderId="0" xfId="0" applyNumberFormat="1" applyFont="1" applyBorder="1"/>
    <xf numFmtId="0" fontId="124" fillId="0" borderId="0" xfId="0" applyFont="1"/>
    <xf numFmtId="168" fontId="13" fillId="0" borderId="0" xfId="230" applyNumberFormat="1" applyFont="1" applyFill="1"/>
    <xf numFmtId="4" fontId="120" fillId="0" borderId="86" xfId="0" applyNumberFormat="1" applyFont="1" applyFill="1" applyBorder="1" applyAlignment="1">
      <alignment horizontal="right" vertical="center" wrapText="1"/>
    </xf>
    <xf numFmtId="167" fontId="121" fillId="0" borderId="89" xfId="0" applyNumberFormat="1" applyFont="1" applyFill="1" applyBorder="1" applyAlignment="1">
      <alignment horizontal="right" vertical="center" wrapText="1"/>
    </xf>
    <xf numFmtId="167" fontId="121" fillId="0" borderId="92" xfId="0" applyNumberFormat="1" applyFont="1" applyFill="1" applyBorder="1" applyAlignment="1">
      <alignment horizontal="right" vertical="center" wrapText="1"/>
    </xf>
    <xf numFmtId="168" fontId="122" fillId="0" borderId="0" xfId="230" applyNumberFormat="1" applyFont="1" applyFill="1"/>
    <xf numFmtId="0" fontId="8" fillId="0" borderId="0" xfId="231" applyFont="1" applyFill="1" applyAlignment="1">
      <alignment horizontal="left" vertical="center"/>
    </xf>
    <xf numFmtId="0" fontId="126" fillId="0" borderId="0" xfId="231" applyFont="1" applyFill="1"/>
    <xf numFmtId="4" fontId="126" fillId="0" borderId="0" xfId="231" applyNumberFormat="1" applyFont="1" applyFill="1"/>
    <xf numFmtId="0" fontId="126" fillId="0" borderId="0" xfId="231" applyFont="1" applyFill="1" applyAlignment="1">
      <alignment horizontal="centerContinuous" vertical="center"/>
    </xf>
    <xf numFmtId="4" fontId="8" fillId="0" borderId="0" xfId="231" applyNumberFormat="1" applyFont="1" applyFill="1"/>
    <xf numFmtId="0" fontId="8" fillId="0" borderId="0" xfId="231" applyFont="1" applyFill="1"/>
    <xf numFmtId="0" fontId="8" fillId="0" borderId="0" xfId="231" applyFont="1" applyFill="1" applyAlignment="1">
      <alignment horizontal="left" vertical="top"/>
    </xf>
    <xf numFmtId="0" fontId="8" fillId="0" borderId="100" xfId="231" applyFont="1" applyFill="1" applyBorder="1" applyAlignment="1"/>
    <xf numFmtId="0" fontId="126" fillId="0" borderId="32" xfId="231" applyFont="1" applyFill="1" applyBorder="1" applyAlignment="1">
      <alignment horizontal="left"/>
    </xf>
    <xf numFmtId="0" fontId="126" fillId="0" borderId="33" xfId="231" applyFont="1" applyFill="1" applyBorder="1" applyAlignment="1">
      <alignment horizontal="center"/>
    </xf>
    <xf numFmtId="0" fontId="126" fillId="0" borderId="13" xfId="231" applyFont="1" applyFill="1" applyBorder="1" applyAlignment="1">
      <alignment horizontal="center"/>
    </xf>
    <xf numFmtId="0" fontId="128" fillId="0" borderId="45" xfId="231" applyFont="1" applyFill="1" applyBorder="1" applyAlignment="1">
      <alignment horizontal="center"/>
    </xf>
    <xf numFmtId="0" fontId="126" fillId="0" borderId="22" xfId="231" applyFont="1" applyFill="1" applyBorder="1" applyAlignment="1">
      <alignment horizontal="center"/>
    </xf>
    <xf numFmtId="0" fontId="126" fillId="0" borderId="0" xfId="231" applyFont="1" applyFill="1" applyBorder="1" applyAlignment="1">
      <alignment horizontal="center"/>
    </xf>
    <xf numFmtId="0" fontId="126" fillId="0" borderId="10" xfId="231" applyFont="1" applyFill="1" applyBorder="1" applyAlignment="1">
      <alignment horizontal="center"/>
    </xf>
    <xf numFmtId="0" fontId="8" fillId="0" borderId="45" xfId="231" applyFont="1" applyFill="1" applyBorder="1"/>
    <xf numFmtId="0" fontId="126" fillId="0" borderId="41" xfId="231" applyFont="1" applyFill="1" applyBorder="1" applyAlignment="1">
      <alignment horizontal="center" vertical="top"/>
    </xf>
    <xf numFmtId="0" fontId="126" fillId="0" borderId="41" xfId="231" applyFont="1" applyFill="1" applyBorder="1" applyAlignment="1">
      <alignment horizontal="center"/>
    </xf>
    <xf numFmtId="0" fontId="126" fillId="0" borderId="40" xfId="231" quotePrefix="1" applyNumberFormat="1" applyFont="1" applyFill="1" applyBorder="1" applyAlignment="1">
      <alignment horizontal="center"/>
    </xf>
    <xf numFmtId="0" fontId="126" fillId="0" borderId="20" xfId="231" quotePrefix="1" applyNumberFormat="1" applyFont="1" applyFill="1" applyBorder="1" applyAlignment="1">
      <alignment horizontal="center"/>
    </xf>
    <xf numFmtId="0" fontId="8" fillId="0" borderId="23" xfId="231" applyFont="1" applyFill="1" applyBorder="1"/>
    <xf numFmtId="0" fontId="130" fillId="0" borderId="24" xfId="231" applyFont="1" applyFill="1" applyBorder="1" applyAlignment="1">
      <alignment horizontal="center"/>
    </xf>
    <xf numFmtId="0" fontId="130" fillId="0" borderId="14" xfId="231" applyFont="1" applyFill="1" applyBorder="1" applyAlignment="1">
      <alignment horizontal="center"/>
    </xf>
    <xf numFmtId="0" fontId="130" fillId="0" borderId="16" xfId="231" applyFont="1" applyFill="1" applyBorder="1" applyAlignment="1">
      <alignment horizontal="center"/>
    </xf>
    <xf numFmtId="0" fontId="130" fillId="0" borderId="15" xfId="231" applyFont="1" applyFill="1" applyBorder="1" applyAlignment="1">
      <alignment horizontal="center"/>
    </xf>
    <xf numFmtId="0" fontId="7" fillId="0" borderId="100" xfId="231" applyFont="1" applyFill="1" applyBorder="1" applyAlignment="1" applyProtection="1">
      <alignment horizontal="center" vertical="center" wrapText="1"/>
      <protection locked="0"/>
    </xf>
    <xf numFmtId="169" fontId="7" fillId="0" borderId="33" xfId="231" applyNumberFormat="1" applyFont="1" applyFill="1" applyBorder="1" applyAlignment="1">
      <alignment horizontal="right" vertical="center"/>
    </xf>
    <xf numFmtId="169" fontId="8" fillId="0" borderId="33" xfId="231" applyNumberFormat="1" applyFont="1" applyFill="1" applyBorder="1" applyAlignment="1">
      <alignment horizontal="right"/>
    </xf>
    <xf numFmtId="169" fontId="7" fillId="0" borderId="13" xfId="231" applyNumberFormat="1" applyFont="1" applyFill="1" applyBorder="1" applyAlignment="1">
      <alignment horizontal="right" vertical="center"/>
    </xf>
    <xf numFmtId="4" fontId="7" fillId="0" borderId="0" xfId="231" applyNumberFormat="1" applyFont="1" applyFill="1"/>
    <xf numFmtId="0" fontId="7" fillId="0" borderId="0" xfId="231" applyFont="1" applyFill="1"/>
    <xf numFmtId="0" fontId="126" fillId="0" borderId="102" xfId="231" applyFont="1" applyFill="1" applyBorder="1" applyAlignment="1" applyProtection="1">
      <alignment wrapText="1"/>
      <protection locked="0"/>
    </xf>
    <xf numFmtId="169" fontId="8" fillId="0" borderId="103" xfId="231" applyNumberFormat="1" applyFont="1" applyFill="1" applyBorder="1" applyAlignment="1">
      <alignment horizontal="right"/>
    </xf>
    <xf numFmtId="169" fontId="8" fillId="0" borderId="104" xfId="231" applyNumberFormat="1" applyFont="1" applyFill="1" applyBorder="1" applyAlignment="1">
      <alignment horizontal="right"/>
    </xf>
    <xf numFmtId="0" fontId="131" fillId="0" borderId="102" xfId="231" applyFont="1" applyFill="1" applyBorder="1" applyAlignment="1" applyProtection="1">
      <alignment wrapText="1"/>
      <protection locked="0"/>
    </xf>
    <xf numFmtId="169" fontId="132" fillId="0" borderId="103" xfId="231" applyNumberFormat="1" applyFont="1" applyFill="1" applyBorder="1" applyAlignment="1">
      <alignment horizontal="right"/>
    </xf>
    <xf numFmtId="169" fontId="132" fillId="0" borderId="104" xfId="231" applyNumberFormat="1" applyFont="1" applyFill="1" applyBorder="1" applyAlignment="1">
      <alignment horizontal="right"/>
    </xf>
    <xf numFmtId="0" fontId="133" fillId="0" borderId="102" xfId="231" applyFont="1" applyFill="1" applyBorder="1" applyAlignment="1" applyProtection="1">
      <alignment wrapText="1"/>
      <protection locked="0"/>
    </xf>
    <xf numFmtId="169" fontId="8" fillId="0" borderId="10" xfId="231" applyNumberFormat="1" applyFont="1" applyFill="1" applyBorder="1" applyAlignment="1">
      <alignment horizontal="right"/>
    </xf>
    <xf numFmtId="169" fontId="132" fillId="0" borderId="105" xfId="231" applyNumberFormat="1" applyFont="1" applyFill="1" applyBorder="1" applyAlignment="1">
      <alignment horizontal="right"/>
    </xf>
    <xf numFmtId="169" fontId="132" fillId="0" borderId="106" xfId="231" applyNumberFormat="1" applyFont="1" applyFill="1" applyBorder="1" applyAlignment="1">
      <alignment horizontal="right"/>
    </xf>
    <xf numFmtId="169" fontId="132" fillId="0" borderId="107" xfId="231" applyNumberFormat="1" applyFont="1" applyFill="1" applyBorder="1" applyAlignment="1">
      <alignment horizontal="right"/>
    </xf>
    <xf numFmtId="0" fontId="7" fillId="0" borderId="108" xfId="231" applyFont="1" applyFill="1" applyBorder="1" applyAlignment="1" applyProtection="1">
      <alignment vertical="center" wrapText="1"/>
      <protection locked="0"/>
    </xf>
    <xf numFmtId="169" fontId="132" fillId="0" borderId="24" xfId="231" applyNumberFormat="1" applyFont="1" applyFill="1" applyBorder="1" applyAlignment="1">
      <alignment horizontal="right"/>
    </xf>
    <xf numFmtId="169" fontId="132" fillId="0" borderId="16" xfId="231" applyNumberFormat="1" applyFont="1" applyFill="1" applyBorder="1" applyAlignment="1">
      <alignment horizontal="right"/>
    </xf>
    <xf numFmtId="169" fontId="132" fillId="0" borderId="31" xfId="231" applyNumberFormat="1" applyFont="1" applyFill="1" applyBorder="1" applyAlignment="1">
      <alignment horizontal="right"/>
    </xf>
    <xf numFmtId="169" fontId="132" fillId="0" borderId="29" xfId="231" applyNumberFormat="1" applyFont="1" applyFill="1" applyBorder="1" applyAlignment="1">
      <alignment horizontal="right"/>
    </xf>
    <xf numFmtId="0" fontId="134" fillId="0" borderId="108" xfId="231" applyFont="1" applyFill="1" applyBorder="1" applyAlignment="1" applyProtection="1">
      <alignment vertical="center" wrapText="1"/>
      <protection locked="0"/>
    </xf>
    <xf numFmtId="169" fontId="132" fillId="0" borderId="109" xfId="231" applyNumberFormat="1" applyFont="1" applyFill="1" applyBorder="1" applyAlignment="1">
      <alignment horizontal="right"/>
    </xf>
    <xf numFmtId="169" fontId="132" fillId="0" borderId="15" xfId="231" applyNumberFormat="1" applyFont="1" applyFill="1" applyBorder="1" applyAlignment="1">
      <alignment horizontal="right"/>
    </xf>
    <xf numFmtId="0" fontId="126" fillId="0" borderId="102" xfId="231" applyFont="1" applyFill="1" applyBorder="1" applyAlignment="1">
      <alignment wrapText="1"/>
    </xf>
    <xf numFmtId="0" fontId="131" fillId="0" borderId="102" xfId="231" applyFont="1" applyFill="1" applyBorder="1" applyAlignment="1">
      <alignment wrapText="1"/>
    </xf>
    <xf numFmtId="0" fontId="131" fillId="0" borderId="45" xfId="231" applyFont="1" applyFill="1" applyBorder="1" applyAlignment="1">
      <alignment wrapText="1"/>
    </xf>
    <xf numFmtId="169" fontId="132" fillId="0" borderId="110" xfId="231" applyNumberFormat="1" applyFont="1" applyFill="1" applyBorder="1" applyAlignment="1">
      <alignment horizontal="right"/>
    </xf>
    <xf numFmtId="169" fontId="132" fillId="0" borderId="111" xfId="231" applyNumberFormat="1" applyFont="1" applyFill="1" applyBorder="1" applyAlignment="1">
      <alignment horizontal="right"/>
    </xf>
    <xf numFmtId="0" fontId="11" fillId="0" borderId="112" xfId="231" applyFont="1" applyFill="1" applyBorder="1" applyAlignment="1">
      <alignment wrapText="1"/>
    </xf>
    <xf numFmtId="169" fontId="6" fillId="0" borderId="110" xfId="231" applyNumberFormat="1" applyFont="1" applyFill="1" applyBorder="1" applyAlignment="1">
      <alignment horizontal="right"/>
    </xf>
    <xf numFmtId="169" fontId="6" fillId="0" borderId="111" xfId="231" applyNumberFormat="1" applyFont="1" applyFill="1" applyBorder="1" applyAlignment="1">
      <alignment horizontal="right"/>
    </xf>
    <xf numFmtId="0" fontId="131" fillId="0" borderId="113" xfId="231" applyFont="1" applyFill="1" applyBorder="1" applyAlignment="1">
      <alignment wrapText="1"/>
    </xf>
    <xf numFmtId="169" fontId="132" fillId="0" borderId="10" xfId="231" applyNumberFormat="1" applyFont="1" applyFill="1" applyBorder="1" applyAlignment="1">
      <alignment horizontal="right"/>
    </xf>
    <xf numFmtId="0" fontId="7" fillId="0" borderId="108" xfId="231" applyFont="1" applyFill="1" applyBorder="1" applyAlignment="1">
      <alignment vertical="center" wrapText="1"/>
    </xf>
    <xf numFmtId="0" fontId="7" fillId="0" borderId="0" xfId="231" applyFont="1" applyFill="1" applyBorder="1" applyAlignment="1">
      <alignment vertical="center" wrapText="1"/>
    </xf>
    <xf numFmtId="169" fontId="8" fillId="0" borderId="31" xfId="231" applyNumberFormat="1" applyFont="1" applyFill="1" applyBorder="1" applyAlignment="1">
      <alignment horizontal="right"/>
    </xf>
    <xf numFmtId="169" fontId="8" fillId="0" borderId="29" xfId="231" applyNumberFormat="1" applyFont="1" applyFill="1" applyBorder="1" applyAlignment="1">
      <alignment horizontal="right"/>
    </xf>
    <xf numFmtId="0" fontId="8" fillId="0" borderId="108" xfId="231" applyFont="1" applyFill="1" applyBorder="1" applyAlignment="1">
      <alignment vertical="center" wrapText="1"/>
    </xf>
    <xf numFmtId="169" fontId="8" fillId="0" borderId="109" xfId="231" applyNumberFormat="1" applyFont="1" applyFill="1" applyBorder="1" applyAlignment="1">
      <alignment horizontal="right"/>
    </xf>
    <xf numFmtId="0" fontId="7" fillId="0" borderId="45" xfId="231" applyFont="1" applyFill="1" applyBorder="1" applyAlignment="1">
      <alignment horizontal="center" wrapText="1"/>
    </xf>
    <xf numFmtId="0" fontId="137" fillId="0" borderId="102" xfId="231" applyFont="1" applyFill="1" applyBorder="1" applyAlignment="1">
      <alignment wrapText="1"/>
    </xf>
    <xf numFmtId="0" fontId="126" fillId="0" borderId="102" xfId="231" applyFont="1" applyFill="1" applyBorder="1" applyAlignment="1">
      <alignment horizontal="left" wrapText="1"/>
    </xf>
    <xf numFmtId="0" fontId="126" fillId="0" borderId="112" xfId="231" applyFont="1" applyFill="1" applyBorder="1" applyAlignment="1">
      <alignment wrapText="1"/>
    </xf>
    <xf numFmtId="0" fontId="131" fillId="0" borderId="112" xfId="231" applyFont="1" applyFill="1" applyBorder="1" applyAlignment="1">
      <alignment wrapText="1"/>
    </xf>
    <xf numFmtId="0" fontId="7" fillId="0" borderId="23" xfId="231" applyFont="1" applyFill="1" applyBorder="1" applyAlignment="1">
      <alignment wrapText="1"/>
    </xf>
    <xf numFmtId="0" fontId="139" fillId="0" borderId="0" xfId="231" applyFont="1" applyFill="1" applyAlignment="1">
      <alignment wrapText="1"/>
    </xf>
    <xf numFmtId="169" fontId="8" fillId="0" borderId="12" xfId="231" applyNumberFormat="1" applyFont="1" applyFill="1" applyBorder="1" applyAlignment="1">
      <alignment horizontal="right"/>
    </xf>
    <xf numFmtId="0" fontId="126" fillId="0" borderId="108" xfId="231" applyFont="1" applyFill="1" applyBorder="1" applyAlignment="1" applyProtection="1">
      <alignment vertical="center"/>
      <protection locked="0"/>
    </xf>
    <xf numFmtId="0" fontId="134" fillId="0" borderId="34" xfId="231" applyFont="1" applyFill="1" applyBorder="1" applyAlignment="1" applyProtection="1">
      <alignment horizontal="center" vertical="center"/>
      <protection locked="0"/>
    </xf>
    <xf numFmtId="169" fontId="8" fillId="0" borderId="114" xfId="231" applyNumberFormat="1" applyFont="1" applyFill="1" applyBorder="1" applyAlignment="1">
      <alignment horizontal="right"/>
    </xf>
    <xf numFmtId="169" fontId="8" fillId="0" borderId="115" xfId="231" applyNumberFormat="1" applyFont="1" applyFill="1" applyBorder="1" applyAlignment="1">
      <alignment horizontal="right"/>
    </xf>
    <xf numFmtId="0" fontId="128" fillId="0" borderId="102" xfId="231" applyFont="1" applyFill="1" applyBorder="1" applyAlignment="1">
      <alignment wrapText="1"/>
    </xf>
    <xf numFmtId="0" fontId="128" fillId="0" borderId="102" xfId="232" applyFont="1" applyFill="1" applyBorder="1" applyAlignment="1">
      <alignment wrapText="1"/>
    </xf>
    <xf numFmtId="0" fontId="128" fillId="0" borderId="112" xfId="231" applyFont="1" applyFill="1" applyBorder="1" applyAlignment="1">
      <alignment wrapText="1"/>
    </xf>
    <xf numFmtId="0" fontId="128" fillId="0" borderId="112" xfId="232" applyFont="1" applyFill="1" applyBorder="1" applyAlignment="1">
      <alignment wrapText="1"/>
    </xf>
    <xf numFmtId="0" fontId="140" fillId="0" borderId="112" xfId="232" applyFont="1" applyFill="1" applyBorder="1" applyAlignment="1">
      <alignment wrapText="1"/>
    </xf>
    <xf numFmtId="0" fontId="140" fillId="0" borderId="116" xfId="231" applyFont="1" applyFill="1" applyBorder="1" applyAlignment="1">
      <alignment wrapText="1"/>
    </xf>
    <xf numFmtId="0" fontId="141" fillId="0" borderId="116" xfId="231" applyFont="1" applyFill="1" applyBorder="1" applyAlignment="1">
      <alignment wrapText="1"/>
    </xf>
    <xf numFmtId="169" fontId="6" fillId="0" borderId="103" xfId="231" applyNumberFormat="1" applyFont="1" applyFill="1" applyBorder="1" applyAlignment="1">
      <alignment horizontal="right"/>
    </xf>
    <xf numFmtId="0" fontId="128" fillId="0" borderId="116" xfId="231" applyFont="1" applyFill="1" applyBorder="1" applyAlignment="1">
      <alignment wrapText="1"/>
    </xf>
    <xf numFmtId="169" fontId="132" fillId="0" borderId="11" xfId="231" applyNumberFormat="1" applyFont="1" applyFill="1" applyBorder="1" applyAlignment="1">
      <alignment horizontal="right"/>
    </xf>
    <xf numFmtId="169" fontId="8" fillId="0" borderId="0" xfId="231" applyNumberFormat="1" applyFont="1" applyFill="1" applyBorder="1" applyAlignment="1">
      <alignment horizontal="right" vertical="center"/>
    </xf>
    <xf numFmtId="0" fontId="134" fillId="0" borderId="28" xfId="231" applyFont="1" applyFill="1" applyBorder="1" applyAlignment="1" applyProtection="1">
      <alignment vertical="center"/>
      <protection locked="0"/>
    </xf>
    <xf numFmtId="169" fontId="132" fillId="0" borderId="30" xfId="231" applyNumberFormat="1" applyFont="1" applyFill="1" applyBorder="1" applyAlignment="1">
      <alignment horizontal="right"/>
    </xf>
    <xf numFmtId="169" fontId="132" fillId="0" borderId="109" xfId="231" applyNumberFormat="1" applyFont="1" applyFill="1" applyBorder="1" applyAlignment="1">
      <alignment horizontal="right" vertical="center"/>
    </xf>
    <xf numFmtId="169" fontId="132" fillId="0" borderId="117" xfId="231" applyNumberFormat="1" applyFont="1" applyFill="1" applyBorder="1" applyAlignment="1">
      <alignment horizontal="right" vertical="center"/>
    </xf>
    <xf numFmtId="0" fontId="125" fillId="0" borderId="0" xfId="231" applyFill="1"/>
    <xf numFmtId="0" fontId="132" fillId="0" borderId="0" xfId="231" applyFont="1" applyFill="1" applyAlignment="1">
      <alignment horizontal="left"/>
    </xf>
    <xf numFmtId="0" fontId="8" fillId="0" borderId="0" xfId="231" applyFont="1" applyFill="1" applyAlignment="1">
      <alignment horizontal="left"/>
    </xf>
    <xf numFmtId="0" fontId="7" fillId="0" borderId="0" xfId="231" applyFont="1" applyFill="1" applyAlignment="1">
      <alignment horizontal="left"/>
    </xf>
    <xf numFmtId="0" fontId="8" fillId="0" borderId="0" xfId="232" applyFont="1" applyFill="1"/>
    <xf numFmtId="0" fontId="126" fillId="0" borderId="0" xfId="231" applyFont="1" applyFill="1" applyAlignment="1">
      <alignment horizontal="center"/>
    </xf>
    <xf numFmtId="0" fontId="142" fillId="0" borderId="0" xfId="231" applyFont="1" applyFill="1" applyAlignment="1">
      <alignment horizontal="left"/>
    </xf>
    <xf numFmtId="0" fontId="73" fillId="0" borderId="0" xfId="231" applyFont="1" applyFill="1" applyAlignment="1">
      <alignment horizontal="right"/>
    </xf>
    <xf numFmtId="0" fontId="26" fillId="0" borderId="0" xfId="230" applyFont="1" applyFill="1" applyAlignment="1">
      <alignment horizontal="right"/>
    </xf>
    <xf numFmtId="0" fontId="27" fillId="0" borderId="0" xfId="230" applyFont="1" applyFill="1"/>
    <xf numFmtId="4" fontId="16" fillId="0" borderId="0" xfId="0" applyNumberFormat="1" applyFont="1"/>
    <xf numFmtId="4" fontId="15" fillId="0" borderId="22" xfId="0" applyNumberFormat="1" applyFont="1" applyFill="1" applyBorder="1"/>
    <xf numFmtId="4" fontId="15" fillId="0" borderId="11" xfId="0" applyNumberFormat="1" applyFont="1" applyFill="1" applyBorder="1"/>
    <xf numFmtId="0" fontId="0" fillId="0" borderId="0" xfId="0" applyFont="1" applyFill="1"/>
    <xf numFmtId="0" fontId="143" fillId="0" borderId="0" xfId="234" applyFont="1" applyFill="1" applyBorder="1"/>
    <xf numFmtId="0" fontId="7" fillId="0" borderId="20" xfId="233" applyFont="1" applyFill="1" applyBorder="1" applyAlignment="1">
      <alignment horizontal="centerContinuous"/>
    </xf>
    <xf numFmtId="0" fontId="128" fillId="0" borderId="29" xfId="233" applyFont="1" applyFill="1" applyBorder="1" applyAlignment="1">
      <alignment horizontal="left"/>
    </xf>
    <xf numFmtId="0" fontId="7" fillId="0" borderId="114" xfId="233" applyFont="1" applyFill="1" applyBorder="1" applyAlignment="1">
      <alignment horizontal="centerContinuous"/>
    </xf>
    <xf numFmtId="0" fontId="8" fillId="0" borderId="0" xfId="233" applyFont="1" applyFill="1"/>
    <xf numFmtId="0" fontId="73" fillId="0" borderId="0" xfId="233" applyFont="1" applyFill="1"/>
    <xf numFmtId="0" fontId="144" fillId="0" borderId="0" xfId="233" applyFont="1" applyFill="1"/>
    <xf numFmtId="0" fontId="145" fillId="0" borderId="0" xfId="233" applyFont="1" applyFill="1"/>
    <xf numFmtId="0" fontId="73" fillId="0" borderId="0" xfId="233" applyFont="1" applyFill="1" applyAlignment="1">
      <alignment horizontal="right"/>
    </xf>
    <xf numFmtId="0" fontId="126" fillId="0" borderId="0" xfId="233" applyFont="1" applyFill="1" applyAlignment="1">
      <alignment horizontal="left"/>
    </xf>
    <xf numFmtId="0" fontId="116" fillId="0" borderId="0" xfId="233" applyFont="1" applyFill="1" applyAlignment="1">
      <alignment horizontal="center"/>
    </xf>
    <xf numFmtId="0" fontId="116" fillId="0" borderId="0" xfId="233" applyFont="1" applyFill="1"/>
    <xf numFmtId="0" fontId="116" fillId="0" borderId="0" xfId="233" applyFont="1" applyFill="1" applyAlignment="1">
      <alignment horizontal="left"/>
    </xf>
    <xf numFmtId="0" fontId="116" fillId="0" borderId="0" xfId="233" applyFont="1" applyFill="1" applyAlignment="1"/>
    <xf numFmtId="0" fontId="116" fillId="0" borderId="0" xfId="233" applyFont="1" applyFill="1" applyAlignment="1">
      <alignment horizontal="centerContinuous"/>
    </xf>
    <xf numFmtId="0" fontId="8" fillId="0" borderId="0" xfId="233" applyFont="1" applyFill="1" applyAlignment="1">
      <alignment horizontal="centerContinuous"/>
    </xf>
    <xf numFmtId="0" fontId="8" fillId="0" borderId="0" xfId="233" applyFont="1" applyFill="1" applyAlignment="1">
      <alignment horizontal="right"/>
    </xf>
    <xf numFmtId="0" fontId="8" fillId="0" borderId="118" xfId="233" applyFont="1" applyFill="1" applyBorder="1" applyAlignment="1">
      <alignment horizontal="center"/>
    </xf>
    <xf numFmtId="0" fontId="8" fillId="0" borderId="12" xfId="233" applyFont="1" applyFill="1" applyBorder="1" applyAlignment="1">
      <alignment horizontal="center"/>
    </xf>
    <xf numFmtId="0" fontId="8" fillId="0" borderId="13" xfId="233" applyFont="1" applyFill="1" applyBorder="1" applyAlignment="1">
      <alignment horizontal="center"/>
    </xf>
    <xf numFmtId="0" fontId="7" fillId="0" borderId="12" xfId="233" applyFont="1" applyFill="1" applyBorder="1" applyAlignment="1">
      <alignment horizontal="centerContinuous"/>
    </xf>
    <xf numFmtId="0" fontId="8" fillId="0" borderId="13" xfId="233" applyFont="1" applyFill="1" applyBorder="1" applyAlignment="1">
      <alignment horizontal="centerContinuous"/>
    </xf>
    <xf numFmtId="0" fontId="8" fillId="0" borderId="119" xfId="233" applyFont="1" applyFill="1" applyBorder="1" applyAlignment="1">
      <alignment horizontal="center"/>
    </xf>
    <xf numFmtId="0" fontId="7" fillId="0" borderId="0" xfId="233" applyFont="1" applyFill="1" applyBorder="1" applyAlignment="1">
      <alignment horizontal="centerContinuous"/>
    </xf>
    <xf numFmtId="0" fontId="8" fillId="0" borderId="11" xfId="233" applyFont="1" applyFill="1" applyBorder="1" applyAlignment="1">
      <alignment horizontal="centerContinuous"/>
    </xf>
    <xf numFmtId="0" fontId="8" fillId="0" borderId="20" xfId="233" applyFont="1" applyFill="1" applyBorder="1" applyAlignment="1">
      <alignment horizontal="centerContinuous"/>
    </xf>
    <xf numFmtId="0" fontId="8" fillId="0" borderId="0" xfId="233" applyFont="1" applyFill="1" applyBorder="1" applyAlignment="1">
      <alignment horizontal="center"/>
    </xf>
    <xf numFmtId="0" fontId="8" fillId="0" borderId="11" xfId="233" applyFont="1" applyFill="1" applyBorder="1" applyAlignment="1">
      <alignment horizontal="center"/>
    </xf>
    <xf numFmtId="0" fontId="8" fillId="0" borderId="10" xfId="233" applyFont="1" applyFill="1" applyBorder="1" applyAlignment="1">
      <alignment horizontal="center"/>
    </xf>
    <xf numFmtId="0" fontId="8" fillId="0" borderId="21" xfId="233" applyFont="1" applyFill="1" applyBorder="1" applyAlignment="1">
      <alignment horizontal="center"/>
    </xf>
    <xf numFmtId="0" fontId="8" fillId="0" borderId="22" xfId="233" applyFont="1" applyFill="1" applyBorder="1" applyAlignment="1">
      <alignment horizontal="center"/>
    </xf>
    <xf numFmtId="0" fontId="8" fillId="0" borderId="120" xfId="233" applyFont="1" applyFill="1" applyBorder="1" applyAlignment="1">
      <alignment horizontal="center"/>
    </xf>
    <xf numFmtId="0" fontId="8" fillId="0" borderId="14" xfId="233" applyFont="1" applyFill="1" applyBorder="1" applyAlignment="1">
      <alignment horizontal="center"/>
    </xf>
    <xf numFmtId="0" fontId="8" fillId="0" borderId="15" xfId="233" applyFont="1" applyFill="1" applyBorder="1" applyAlignment="1">
      <alignment horizontal="center"/>
    </xf>
    <xf numFmtId="0" fontId="8" fillId="0" borderId="16" xfId="233" applyFont="1" applyFill="1" applyBorder="1" applyAlignment="1">
      <alignment horizontal="center"/>
    </xf>
    <xf numFmtId="0" fontId="8" fillId="0" borderId="24" xfId="233" applyFont="1" applyFill="1" applyBorder="1" applyAlignment="1">
      <alignment horizontal="center"/>
    </xf>
    <xf numFmtId="0" fontId="8" fillId="0" borderId="14" xfId="233" applyFont="1" applyFill="1" applyBorder="1" applyAlignment="1">
      <alignment horizontal="centerContinuous"/>
    </xf>
    <xf numFmtId="0" fontId="8" fillId="0" borderId="15" xfId="233" applyFont="1" applyFill="1" applyBorder="1" applyAlignment="1">
      <alignment horizontal="centerContinuous"/>
    </xf>
    <xf numFmtId="0" fontId="8" fillId="0" borderId="109" xfId="233" applyFont="1" applyFill="1" applyBorder="1" applyAlignment="1">
      <alignment horizontal="center"/>
    </xf>
    <xf numFmtId="0" fontId="8" fillId="0" borderId="121" xfId="233" applyFont="1" applyFill="1" applyBorder="1" applyAlignment="1">
      <alignment horizontal="center"/>
    </xf>
    <xf numFmtId="0" fontId="8" fillId="0" borderId="122" xfId="233" applyFont="1" applyFill="1" applyBorder="1" applyAlignment="1">
      <alignment horizontal="left"/>
    </xf>
    <xf numFmtId="0" fontId="8" fillId="0" borderId="17" xfId="233" applyFont="1" applyFill="1" applyBorder="1" applyAlignment="1">
      <alignment horizontal="centerContinuous"/>
    </xf>
    <xf numFmtId="4" fontId="8" fillId="0" borderId="123" xfId="233" applyNumberFormat="1" applyFont="1" applyFill="1" applyBorder="1" applyAlignment="1">
      <alignment horizontal="right"/>
    </xf>
    <xf numFmtId="4" fontId="8" fillId="0" borderId="21" xfId="233" applyNumberFormat="1" applyFont="1" applyFill="1" applyBorder="1" applyAlignment="1">
      <alignment horizontal="right"/>
    </xf>
    <xf numFmtId="4" fontId="8" fillId="0" borderId="17" xfId="233" applyNumberFormat="1" applyFont="1" applyFill="1" applyBorder="1" applyAlignment="1">
      <alignment horizontal="right"/>
    </xf>
    <xf numFmtId="0" fontId="8" fillId="0" borderId="124" xfId="233" applyFont="1" applyFill="1" applyBorder="1"/>
    <xf numFmtId="0" fontId="8" fillId="0" borderId="125" xfId="233" applyFont="1" applyFill="1" applyBorder="1" applyAlignment="1">
      <alignment horizontal="center"/>
    </xf>
    <xf numFmtId="4" fontId="8" fillId="0" borderId="126" xfId="233" applyNumberFormat="1" applyFont="1" applyFill="1" applyBorder="1" applyAlignment="1">
      <alignment horizontal="right"/>
    </xf>
    <xf numFmtId="4" fontId="8" fillId="0" borderId="27" xfId="233" applyNumberFormat="1" applyFont="1" applyFill="1" applyBorder="1" applyAlignment="1">
      <alignment horizontal="right"/>
    </xf>
    <xf numFmtId="4" fontId="8" fillId="0" borderId="125" xfId="233" applyNumberFormat="1" applyFont="1" applyFill="1" applyBorder="1" applyAlignment="1">
      <alignment horizontal="right"/>
    </xf>
    <xf numFmtId="0" fontId="8" fillId="0" borderId="127" xfId="233" applyFont="1" applyFill="1" applyBorder="1" applyAlignment="1">
      <alignment horizontal="center"/>
    </xf>
    <xf numFmtId="0" fontId="8" fillId="0" borderId="34" xfId="233" applyFont="1" applyFill="1" applyBorder="1" applyAlignment="1">
      <alignment horizontal="left"/>
    </xf>
    <xf numFmtId="0" fontId="8" fillId="0" borderId="17" xfId="233" applyFont="1" applyFill="1" applyBorder="1" applyAlignment="1">
      <alignment horizontal="center"/>
    </xf>
    <xf numFmtId="0" fontId="8" fillId="0" borderId="122" xfId="233" applyFont="1" applyFill="1" applyBorder="1"/>
    <xf numFmtId="0" fontId="132" fillId="0" borderId="128" xfId="233" applyFont="1" applyFill="1" applyBorder="1" applyAlignment="1">
      <alignment horizontal="center"/>
    </xf>
    <xf numFmtId="0" fontId="132" fillId="0" borderId="30" xfId="233" applyFont="1" applyFill="1" applyBorder="1"/>
    <xf numFmtId="0" fontId="132" fillId="0" borderId="29" xfId="233" applyFont="1" applyFill="1" applyBorder="1" applyAlignment="1">
      <alignment horizontal="center"/>
    </xf>
    <xf numFmtId="4" fontId="132" fillId="0" borderId="31" xfId="233" applyNumberFormat="1" applyFont="1" applyFill="1" applyBorder="1" applyAlignment="1">
      <alignment horizontal="right"/>
    </xf>
    <xf numFmtId="4" fontId="132" fillId="0" borderId="109" xfId="233" applyNumberFormat="1" applyFont="1" applyFill="1" applyBorder="1" applyAlignment="1">
      <alignment horizontal="right"/>
    </xf>
    <xf numFmtId="4" fontId="132" fillId="0" borderId="29" xfId="233" applyNumberFormat="1" applyFont="1" applyFill="1" applyBorder="1" applyAlignment="1">
      <alignment horizontal="right"/>
    </xf>
    <xf numFmtId="16" fontId="8" fillId="0" borderId="42" xfId="233" applyNumberFormat="1" applyFont="1" applyFill="1" applyBorder="1" applyAlignment="1">
      <alignment horizontal="center" vertical="center" wrapText="1"/>
    </xf>
    <xf numFmtId="0" fontId="147" fillId="0" borderId="129" xfId="233" applyFont="1" applyFill="1" applyBorder="1" applyAlignment="1">
      <alignment wrapText="1"/>
    </xf>
    <xf numFmtId="0" fontId="147" fillId="0" borderId="124" xfId="233" applyFont="1" applyFill="1" applyBorder="1" applyAlignment="1">
      <alignment wrapText="1"/>
    </xf>
    <xf numFmtId="4" fontId="148" fillId="0" borderId="42" xfId="233" applyNumberFormat="1" applyFont="1" applyFill="1" applyBorder="1"/>
    <xf numFmtId="0" fontId="147" fillId="0" borderId="27" xfId="233" applyFont="1" applyFill="1" applyBorder="1" applyAlignment="1">
      <alignment horizontal="center"/>
    </xf>
    <xf numFmtId="0" fontId="147" fillId="0" borderId="35" xfId="233" applyFont="1" applyFill="1" applyBorder="1" applyAlignment="1">
      <alignment horizontal="center"/>
    </xf>
    <xf numFmtId="0" fontId="149" fillId="0" borderId="129" xfId="233" applyFont="1" applyFill="1" applyBorder="1"/>
    <xf numFmtId="0" fontId="147" fillId="0" borderId="124" xfId="233" applyFont="1" applyFill="1" applyBorder="1"/>
    <xf numFmtId="4" fontId="148" fillId="0" borderId="42" xfId="81" applyNumberFormat="1" applyFont="1" applyFill="1" applyBorder="1"/>
    <xf numFmtId="0" fontId="150" fillId="0" borderId="27" xfId="233" applyFont="1" applyFill="1" applyBorder="1" applyAlignment="1">
      <alignment horizontal="center" wrapText="1"/>
    </xf>
    <xf numFmtId="0" fontId="150" fillId="0" borderId="35" xfId="233" applyFont="1" applyFill="1" applyBorder="1" applyAlignment="1">
      <alignment horizontal="center" wrapText="1"/>
    </xf>
    <xf numFmtId="16" fontId="8" fillId="0" borderId="130" xfId="233" applyNumberFormat="1" applyFont="1" applyFill="1" applyBorder="1" applyAlignment="1">
      <alignment horizontal="center" vertical="center" wrapText="1"/>
    </xf>
    <xf numFmtId="0" fontId="149" fillId="0" borderId="131" xfId="233" applyFont="1" applyFill="1" applyBorder="1"/>
    <xf numFmtId="0" fontId="147" fillId="0" borderId="131" xfId="233" applyFont="1" applyFill="1" applyBorder="1"/>
    <xf numFmtId="4" fontId="148" fillId="0" borderId="130" xfId="81" applyNumberFormat="1" applyFont="1" applyFill="1" applyBorder="1"/>
    <xf numFmtId="0" fontId="150" fillId="0" borderId="132" xfId="233" applyFont="1" applyFill="1" applyBorder="1" applyAlignment="1">
      <alignment horizontal="center" wrapText="1"/>
    </xf>
    <xf numFmtId="0" fontId="150" fillId="0" borderId="133" xfId="233" applyFont="1" applyFill="1" applyBorder="1" applyAlignment="1">
      <alignment horizontal="center" wrapText="1"/>
    </xf>
    <xf numFmtId="4" fontId="8" fillId="0" borderId="0" xfId="233" applyNumberFormat="1" applyFont="1" applyFill="1"/>
    <xf numFmtId="0" fontId="126" fillId="0" borderId="0" xfId="233" applyFont="1" applyFill="1" applyAlignment="1">
      <alignment horizontal="centerContinuous"/>
    </xf>
    <xf numFmtId="4" fontId="126" fillId="0" borderId="0" xfId="233" applyNumberFormat="1" applyFont="1" applyFill="1"/>
    <xf numFmtId="0" fontId="126" fillId="0" borderId="0" xfId="233" applyFont="1" applyFill="1"/>
    <xf numFmtId="0" fontId="8" fillId="0" borderId="128" xfId="233" applyFont="1" applyFill="1" applyBorder="1" applyAlignment="1">
      <alignment horizontal="center"/>
    </xf>
    <xf numFmtId="0" fontId="8" fillId="0" borderId="30" xfId="233" applyFont="1" applyFill="1" applyBorder="1" applyAlignment="1">
      <alignment horizontal="centerContinuous"/>
    </xf>
    <xf numFmtId="0" fontId="8" fillId="0" borderId="29" xfId="233" applyFont="1" applyFill="1" applyBorder="1" applyAlignment="1">
      <alignment horizontal="centerContinuous"/>
    </xf>
    <xf numFmtId="0" fontId="8" fillId="0" borderId="31" xfId="233" applyFont="1" applyFill="1" applyBorder="1" applyAlignment="1">
      <alignment horizontal="center"/>
    </xf>
    <xf numFmtId="0" fontId="8" fillId="0" borderId="29" xfId="233" applyFont="1" applyFill="1" applyBorder="1" applyAlignment="1">
      <alignment horizontal="center"/>
    </xf>
    <xf numFmtId="0" fontId="132" fillId="0" borderId="134" xfId="233" applyFont="1" applyFill="1" applyBorder="1" applyAlignment="1">
      <alignment horizontal="center"/>
    </xf>
    <xf numFmtId="4" fontId="132" fillId="0" borderId="39" xfId="233" applyNumberFormat="1" applyFont="1" applyFill="1" applyBorder="1" applyAlignment="1">
      <alignment horizontal="right"/>
    </xf>
    <xf numFmtId="4" fontId="132" fillId="0" borderId="36" xfId="233" applyNumberFormat="1" applyFont="1" applyFill="1" applyBorder="1" applyAlignment="1">
      <alignment horizontal="right"/>
    </xf>
    <xf numFmtId="4" fontId="132" fillId="0" borderId="19" xfId="233" applyNumberFormat="1" applyFont="1" applyFill="1" applyBorder="1" applyAlignment="1">
      <alignment horizontal="right"/>
    </xf>
    <xf numFmtId="0" fontId="128" fillId="0" borderId="25" xfId="233" applyFont="1" applyFill="1" applyBorder="1" applyAlignment="1">
      <alignment horizontal="left"/>
    </xf>
    <xf numFmtId="0" fontId="128" fillId="0" borderId="20" xfId="233" applyFont="1" applyFill="1" applyBorder="1" applyAlignment="1">
      <alignment horizontal="left"/>
    </xf>
    <xf numFmtId="4" fontId="8" fillId="0" borderId="40" xfId="233" applyNumberFormat="1" applyFont="1" applyFill="1" applyBorder="1" applyAlignment="1">
      <alignment horizontal="right"/>
    </xf>
    <xf numFmtId="4" fontId="8" fillId="0" borderId="41" xfId="233" applyNumberFormat="1" applyFont="1" applyFill="1" applyBorder="1" applyAlignment="1">
      <alignment horizontal="right"/>
    </xf>
    <xf numFmtId="4" fontId="8" fillId="0" borderId="20" xfId="233" applyNumberFormat="1" applyFont="1" applyFill="1" applyBorder="1" applyAlignment="1">
      <alignment horizontal="right"/>
    </xf>
    <xf numFmtId="4" fontId="8" fillId="0" borderId="16" xfId="233" applyNumberFormat="1" applyFont="1" applyFill="1" applyBorder="1" applyAlignment="1">
      <alignment horizontal="right"/>
    </xf>
    <xf numFmtId="4" fontId="8" fillId="0" borderId="24" xfId="233" applyNumberFormat="1" applyFont="1" applyFill="1" applyBorder="1" applyAlignment="1">
      <alignment horizontal="right"/>
    </xf>
    <xf numFmtId="4" fontId="8" fillId="0" borderId="15" xfId="233" applyNumberFormat="1" applyFont="1" applyFill="1" applyBorder="1" applyAlignment="1">
      <alignment horizontal="right"/>
    </xf>
    <xf numFmtId="0" fontId="8" fillId="0" borderId="134" xfId="233" applyFont="1" applyFill="1" applyBorder="1" applyAlignment="1">
      <alignment horizontal="center"/>
    </xf>
    <xf numFmtId="4" fontId="8" fillId="0" borderId="39" xfId="233" applyNumberFormat="1" applyFont="1" applyFill="1" applyBorder="1" applyAlignment="1">
      <alignment horizontal="right"/>
    </xf>
    <xf numFmtId="4" fontId="8" fillId="0" borderId="36" xfId="233" applyNumberFormat="1" applyFont="1" applyFill="1" applyBorder="1" applyAlignment="1">
      <alignment horizontal="right"/>
    </xf>
    <xf numFmtId="4" fontId="8" fillId="0" borderId="19" xfId="233" applyNumberFormat="1" applyFont="1" applyFill="1" applyBorder="1" applyAlignment="1">
      <alignment horizontal="right"/>
    </xf>
    <xf numFmtId="0" fontId="128" fillId="0" borderId="124" xfId="233" applyFont="1" applyFill="1" applyBorder="1" applyAlignment="1">
      <alignment horizontal="left"/>
    </xf>
    <xf numFmtId="0" fontId="128" fillId="0" borderId="125" xfId="233" applyFont="1" applyFill="1" applyBorder="1" applyAlignment="1">
      <alignment horizontal="left"/>
    </xf>
    <xf numFmtId="0" fontId="8" fillId="0" borderId="0" xfId="233" applyFont="1" applyFill="1" applyBorder="1" applyAlignment="1">
      <alignment horizontal="left"/>
    </xf>
    <xf numFmtId="0" fontId="8" fillId="0" borderId="0" xfId="233" applyFont="1" applyFill="1" applyBorder="1" applyAlignment="1">
      <alignment horizontal="centerContinuous" wrapText="1"/>
    </xf>
    <xf numFmtId="0" fontId="128" fillId="0" borderId="30" xfId="233" applyFont="1" applyFill="1" applyBorder="1" applyAlignment="1">
      <alignment horizontal="left"/>
    </xf>
    <xf numFmtId="4" fontId="8" fillId="0" borderId="31" xfId="233" applyNumberFormat="1" applyFont="1" applyFill="1" applyBorder="1" applyAlignment="1">
      <alignment horizontal="right"/>
    </xf>
    <xf numFmtId="4" fontId="8" fillId="0" borderId="109" xfId="233" applyNumberFormat="1" applyFont="1" applyFill="1" applyBorder="1" applyAlignment="1">
      <alignment horizontal="right"/>
    </xf>
    <xf numFmtId="4" fontId="8" fillId="0" borderId="29" xfId="233" applyNumberFormat="1" applyFont="1" applyFill="1" applyBorder="1" applyAlignment="1">
      <alignment horizontal="right"/>
    </xf>
    <xf numFmtId="0" fontId="8" fillId="0" borderId="0" xfId="233" applyFont="1" applyFill="1" applyAlignment="1">
      <alignment horizontal="left"/>
    </xf>
    <xf numFmtId="0" fontId="8" fillId="0" borderId="12" xfId="233" applyFont="1" applyFill="1" applyBorder="1" applyAlignment="1">
      <alignment horizontal="centerContinuous"/>
    </xf>
    <xf numFmtId="0" fontId="7" fillId="0" borderId="18" xfId="233" applyFont="1" applyFill="1" applyBorder="1" applyAlignment="1">
      <alignment horizontal="centerContinuous"/>
    </xf>
    <xf numFmtId="0" fontId="8" fillId="0" borderId="45" xfId="233" applyFont="1" applyFill="1" applyBorder="1" applyAlignment="1">
      <alignment horizontal="center"/>
    </xf>
    <xf numFmtId="0" fontId="8" fillId="0" borderId="23" xfId="233" applyFont="1" applyFill="1" applyBorder="1" applyAlignment="1">
      <alignment horizontal="center"/>
    </xf>
    <xf numFmtId="0" fontId="8" fillId="0" borderId="30" xfId="233" applyFont="1" applyFill="1" applyBorder="1" applyAlignment="1">
      <alignment horizontal="center"/>
    </xf>
    <xf numFmtId="0" fontId="8" fillId="0" borderId="108" xfId="233" applyFont="1" applyFill="1" applyBorder="1" applyAlignment="1">
      <alignment horizontal="center"/>
    </xf>
    <xf numFmtId="4" fontId="8" fillId="0" borderId="137" xfId="233" applyNumberFormat="1" applyFont="1" applyFill="1" applyBorder="1" applyAlignment="1">
      <alignment horizontal="right"/>
    </xf>
    <xf numFmtId="4" fontId="8" fillId="0" borderId="138" xfId="233" applyNumberFormat="1" applyFont="1" applyFill="1" applyBorder="1" applyAlignment="1">
      <alignment horizontal="right"/>
    </xf>
    <xf numFmtId="4" fontId="8" fillId="0" borderId="101" xfId="233" applyNumberFormat="1" applyFont="1" applyFill="1" applyBorder="1" applyAlignment="1">
      <alignment horizontal="right"/>
    </xf>
    <xf numFmtId="4" fontId="8" fillId="0" borderId="129" xfId="233" applyNumberFormat="1" applyFont="1" applyFill="1" applyBorder="1" applyAlignment="1">
      <alignment horizontal="right"/>
    </xf>
    <xf numFmtId="4" fontId="8" fillId="0" borderId="35" xfId="233" applyNumberFormat="1" applyFont="1" applyFill="1" applyBorder="1" applyAlignment="1">
      <alignment horizontal="right"/>
    </xf>
    <xf numFmtId="0" fontId="128" fillId="0" borderId="34" xfId="233" applyFont="1" applyFill="1" applyBorder="1" applyAlignment="1">
      <alignment horizontal="left"/>
    </xf>
    <xf numFmtId="4" fontId="8" fillId="0" borderId="139" xfId="233" applyNumberFormat="1" applyFont="1" applyFill="1" applyBorder="1" applyAlignment="1">
      <alignment horizontal="right"/>
    </xf>
    <xf numFmtId="4" fontId="8" fillId="0" borderId="140" xfId="233" applyNumberFormat="1" applyFont="1" applyFill="1" applyBorder="1" applyAlignment="1">
      <alignment horizontal="right"/>
    </xf>
    <xf numFmtId="0" fontId="132" fillId="0" borderId="141" xfId="233" applyFont="1" applyFill="1" applyBorder="1" applyAlignment="1">
      <alignment horizontal="center"/>
    </xf>
    <xf numFmtId="0" fontId="132" fillId="0" borderId="131" xfId="233" applyFont="1" applyFill="1" applyBorder="1"/>
    <xf numFmtId="0" fontId="132" fillId="0" borderId="136" xfId="233" applyFont="1" applyFill="1" applyBorder="1" applyAlignment="1">
      <alignment horizontal="center"/>
    </xf>
    <xf numFmtId="4" fontId="132" fillId="0" borderId="142" xfId="233" applyNumberFormat="1" applyFont="1" applyFill="1" applyBorder="1" applyAlignment="1">
      <alignment horizontal="right"/>
    </xf>
    <xf numFmtId="4" fontId="132" fillId="0" borderId="132" xfId="233" applyNumberFormat="1" applyFont="1" applyFill="1" applyBorder="1" applyAlignment="1">
      <alignment horizontal="right"/>
    </xf>
    <xf numFmtId="4" fontId="132" fillId="0" borderId="136" xfId="233" applyNumberFormat="1" applyFont="1" applyFill="1" applyBorder="1" applyAlignment="1">
      <alignment horizontal="right"/>
    </xf>
    <xf numFmtId="4" fontId="132" fillId="0" borderId="143" xfId="233" applyNumberFormat="1" applyFont="1" applyFill="1" applyBorder="1" applyAlignment="1">
      <alignment horizontal="right"/>
    </xf>
    <xf numFmtId="4" fontId="132" fillId="0" borderId="130" xfId="233" applyNumberFormat="1" applyFont="1" applyFill="1" applyBorder="1" applyAlignment="1">
      <alignment horizontal="right"/>
    </xf>
    <xf numFmtId="4" fontId="132" fillId="0" borderId="133" xfId="233" applyNumberFormat="1" applyFont="1" applyFill="1" applyBorder="1" applyAlignment="1">
      <alignment horizontal="right"/>
    </xf>
    <xf numFmtId="0" fontId="8" fillId="0" borderId="0" xfId="233" applyFont="1" applyFill="1" applyBorder="1"/>
    <xf numFmtId="0" fontId="133" fillId="0" borderId="0" xfId="233" applyFont="1" applyFill="1" applyBorder="1" applyAlignment="1" applyProtection="1">
      <alignment horizontal="left"/>
      <protection locked="0"/>
    </xf>
    <xf numFmtId="0" fontId="151" fillId="0" borderId="0" xfId="233" applyFont="1" applyFill="1"/>
    <xf numFmtId="0" fontId="126" fillId="0" borderId="0" xfId="233" applyFont="1" applyFill="1" applyBorder="1" applyAlignment="1">
      <alignment horizontal="left"/>
    </xf>
    <xf numFmtId="0" fontId="146" fillId="0" borderId="0" xfId="233" applyFont="1" applyFill="1" applyBorder="1" applyAlignment="1">
      <alignment horizontal="left"/>
    </xf>
    <xf numFmtId="0" fontId="126" fillId="0" borderId="0" xfId="233" applyFont="1" applyFill="1" applyBorder="1" applyAlignment="1">
      <alignment horizontal="center"/>
    </xf>
    <xf numFmtId="0" fontId="126" fillId="0" borderId="0" xfId="233" applyFont="1" applyFill="1" applyBorder="1"/>
    <xf numFmtId="0" fontId="152" fillId="0" borderId="0" xfId="233" applyFont="1" applyFill="1"/>
    <xf numFmtId="0" fontId="132" fillId="0" borderId="0" xfId="233" applyFont="1" applyFill="1"/>
    <xf numFmtId="0" fontId="27" fillId="0" borderId="0" xfId="0" applyFont="1" applyFill="1"/>
    <xf numFmtId="0" fontId="15" fillId="0" borderId="0" xfId="0" applyFont="1" applyFill="1" applyAlignment="1">
      <alignment horizontal="center" vertical="center" wrapText="1"/>
    </xf>
    <xf numFmtId="0" fontId="15" fillId="0" borderId="108" xfId="0" applyFont="1" applyFill="1" applyBorder="1" applyAlignment="1">
      <alignment horizontal="center" vertical="center" wrapText="1"/>
    </xf>
    <xf numFmtId="0" fontId="15" fillId="0" borderId="109" xfId="0" applyFont="1" applyFill="1" applyBorder="1" applyAlignment="1">
      <alignment horizontal="center" vertical="center" wrapText="1"/>
    </xf>
    <xf numFmtId="0" fontId="15" fillId="0" borderId="117" xfId="0" applyFont="1" applyFill="1" applyBorder="1" applyAlignment="1">
      <alignment horizontal="center" vertical="center" wrapText="1"/>
    </xf>
    <xf numFmtId="0" fontId="15" fillId="0" borderId="31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/>
    </xf>
    <xf numFmtId="0" fontId="15" fillId="0" borderId="144" xfId="0" applyFont="1" applyFill="1" applyBorder="1" applyAlignment="1">
      <alignment horizontal="center" vertical="center" wrapText="1"/>
    </xf>
    <xf numFmtId="0" fontId="26" fillId="0" borderId="23" xfId="0" applyFont="1" applyFill="1" applyBorder="1" applyAlignment="1">
      <alignment horizontal="center" vertical="center"/>
    </xf>
    <xf numFmtId="0" fontId="26" fillId="0" borderId="24" xfId="0" applyFont="1" applyFill="1" applyBorder="1" applyAlignment="1">
      <alignment horizontal="center" vertical="center"/>
    </xf>
    <xf numFmtId="0" fontId="26" fillId="0" borderId="144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0" fontId="26" fillId="0" borderId="46" xfId="0" applyFont="1" applyFill="1" applyBorder="1" applyAlignment="1">
      <alignment horizontal="center" vertical="center"/>
    </xf>
    <xf numFmtId="0" fontId="26" fillId="0" borderId="145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5" fillId="0" borderId="18" xfId="0" applyFont="1" applyFill="1" applyBorder="1"/>
    <xf numFmtId="49" fontId="15" fillId="0" borderId="146" xfId="0" applyNumberFormat="1" applyFont="1" applyFill="1" applyBorder="1" applyAlignment="1">
      <alignment horizontal="left" indent="1"/>
    </xf>
    <xf numFmtId="3" fontId="15" fillId="0" borderId="39" xfId="0" applyNumberFormat="1" applyFont="1" applyFill="1" applyBorder="1" applyAlignment="1">
      <alignment horizontal="right" indent="1"/>
    </xf>
    <xf numFmtId="3" fontId="15" fillId="0" borderId="32" xfId="0" applyNumberFormat="1" applyFont="1" applyFill="1" applyBorder="1" applyAlignment="1">
      <alignment horizontal="right" indent="1"/>
    </xf>
    <xf numFmtId="3" fontId="15" fillId="0" borderId="146" xfId="0" applyNumberFormat="1" applyFont="1" applyFill="1" applyBorder="1" applyAlignment="1">
      <alignment horizontal="right" indent="1"/>
    </xf>
    <xf numFmtId="3" fontId="15" fillId="0" borderId="33" xfId="0" applyNumberFormat="1" applyFont="1" applyFill="1" applyBorder="1" applyAlignment="1">
      <alignment horizontal="right" indent="1"/>
    </xf>
    <xf numFmtId="170" fontId="15" fillId="0" borderId="33" xfId="0" applyNumberFormat="1" applyFont="1" applyFill="1" applyBorder="1" applyAlignment="1">
      <alignment horizontal="center"/>
    </xf>
    <xf numFmtId="170" fontId="15" fillId="0" borderId="32" xfId="0" applyNumberFormat="1" applyFont="1" applyFill="1" applyBorder="1" applyAlignment="1">
      <alignment horizontal="center"/>
    </xf>
    <xf numFmtId="170" fontId="15" fillId="0" borderId="146" xfId="0" applyNumberFormat="1" applyFont="1" applyFill="1" applyBorder="1" applyAlignment="1">
      <alignment horizontal="center"/>
    </xf>
    <xf numFmtId="0" fontId="10" fillId="0" borderId="135" xfId="0" applyFont="1" applyFill="1" applyBorder="1"/>
    <xf numFmtId="0" fontId="10" fillId="0" borderId="133" xfId="0" applyFont="1" applyFill="1" applyBorder="1" applyAlignment="1">
      <alignment horizontal="left" indent="1"/>
    </xf>
    <xf numFmtId="3" fontId="10" fillId="0" borderId="142" xfId="0" applyNumberFormat="1" applyFont="1" applyFill="1" applyBorder="1" applyAlignment="1">
      <alignment horizontal="right" indent="1"/>
    </xf>
    <xf numFmtId="3" fontId="10" fillId="0" borderId="132" xfId="0" applyNumberFormat="1" applyFont="1" applyFill="1" applyBorder="1" applyAlignment="1">
      <alignment horizontal="right" indent="1"/>
    </xf>
    <xf numFmtId="3" fontId="10" fillId="0" borderId="133" xfId="0" applyNumberFormat="1" applyFont="1" applyFill="1" applyBorder="1" applyAlignment="1">
      <alignment horizontal="right" indent="1"/>
    </xf>
    <xf numFmtId="10" fontId="153" fillId="0" borderId="126" xfId="235" applyNumberFormat="1" applyFont="1" applyFill="1" applyBorder="1" applyAlignment="1">
      <alignment horizontal="center"/>
    </xf>
    <xf numFmtId="10" fontId="153" fillId="0" borderId="27" xfId="235" applyNumberFormat="1" applyFont="1" applyFill="1" applyBorder="1" applyAlignment="1">
      <alignment horizontal="center"/>
    </xf>
    <xf numFmtId="10" fontId="153" fillId="0" borderId="35" xfId="235" applyNumberFormat="1" applyFont="1" applyFill="1" applyBorder="1" applyAlignment="1">
      <alignment horizontal="center"/>
    </xf>
    <xf numFmtId="0" fontId="10" fillId="0" borderId="0" xfId="0" applyFont="1" applyFill="1"/>
    <xf numFmtId="49" fontId="15" fillId="0" borderId="147" xfId="0" applyNumberFormat="1" applyFont="1" applyFill="1" applyBorder="1" applyAlignment="1">
      <alignment horizontal="right"/>
    </xf>
    <xf numFmtId="49" fontId="15" fillId="0" borderId="148" xfId="0" applyNumberFormat="1" applyFont="1" applyFill="1" applyBorder="1" applyAlignment="1">
      <alignment horizontal="left" indent="1"/>
    </xf>
    <xf numFmtId="4" fontId="15" fillId="0" borderId="149" xfId="0" applyNumberFormat="1" applyFont="1" applyFill="1" applyBorder="1" applyAlignment="1">
      <alignment horizontal="right" indent="1"/>
    </xf>
    <xf numFmtId="4" fontId="15" fillId="0" borderId="150" xfId="0" applyNumberFormat="1" applyFont="1" applyFill="1" applyBorder="1" applyAlignment="1">
      <alignment horizontal="right" indent="1"/>
    </xf>
    <xf numFmtId="4" fontId="15" fillId="0" borderId="148" xfId="0" applyNumberFormat="1" applyFont="1" applyFill="1" applyBorder="1" applyAlignment="1">
      <alignment horizontal="right" indent="1"/>
    </xf>
    <xf numFmtId="10" fontId="15" fillId="0" borderId="150" xfId="235" applyNumberFormat="1" applyFont="1" applyFill="1" applyBorder="1" applyAlignment="1">
      <alignment horizontal="center"/>
    </xf>
    <xf numFmtId="10" fontId="15" fillId="0" borderId="151" xfId="235" applyNumberFormat="1" applyFont="1" applyFill="1" applyBorder="1" applyAlignment="1">
      <alignment horizontal="center"/>
    </xf>
    <xf numFmtId="49" fontId="15" fillId="0" borderId="152" xfId="0" applyNumberFormat="1" applyFont="1" applyFill="1" applyBorder="1" applyAlignment="1">
      <alignment horizontal="right"/>
    </xf>
    <xf numFmtId="49" fontId="15" fillId="0" borderId="153" xfId="0" applyNumberFormat="1" applyFont="1" applyFill="1" applyBorder="1" applyAlignment="1">
      <alignment horizontal="left" indent="1"/>
    </xf>
    <xf numFmtId="4" fontId="15" fillId="0" borderId="154" xfId="0" applyNumberFormat="1" applyFont="1" applyFill="1" applyBorder="1" applyAlignment="1">
      <alignment horizontal="right" indent="1"/>
    </xf>
    <xf numFmtId="4" fontId="15" fillId="0" borderId="155" xfId="0" applyNumberFormat="1" applyFont="1" applyFill="1" applyBorder="1" applyAlignment="1">
      <alignment horizontal="right" indent="1"/>
    </xf>
    <xf numFmtId="4" fontId="15" fillId="0" borderId="153" xfId="0" applyNumberFormat="1" applyFont="1" applyFill="1" applyBorder="1" applyAlignment="1">
      <alignment horizontal="right" indent="1"/>
    </xf>
    <xf numFmtId="49" fontId="15" fillId="0" borderId="156" xfId="0" applyNumberFormat="1" applyFont="1" applyFill="1" applyBorder="1" applyAlignment="1">
      <alignment horizontal="right"/>
    </xf>
    <xf numFmtId="49" fontId="15" fillId="0" borderId="157" xfId="0" applyNumberFormat="1" applyFont="1" applyFill="1" applyBorder="1" applyAlignment="1">
      <alignment horizontal="left" indent="1"/>
    </xf>
    <xf numFmtId="4" fontId="15" fillId="0" borderId="110" xfId="0" applyNumberFormat="1" applyFont="1" applyFill="1" applyBorder="1" applyAlignment="1">
      <alignment horizontal="right" indent="1"/>
    </xf>
    <xf numFmtId="4" fontId="15" fillId="0" borderId="158" xfId="0" applyNumberFormat="1" applyFont="1" applyFill="1" applyBorder="1" applyAlignment="1">
      <alignment horizontal="right" indent="1"/>
    </xf>
    <xf numFmtId="4" fontId="15" fillId="0" borderId="157" xfId="0" applyNumberFormat="1" applyFont="1" applyFill="1" applyBorder="1" applyAlignment="1">
      <alignment horizontal="right" indent="1"/>
    </xf>
    <xf numFmtId="4" fontId="15" fillId="0" borderId="0" xfId="0" applyNumberFormat="1" applyFont="1" applyFill="1"/>
    <xf numFmtId="49" fontId="153" fillId="0" borderId="34" xfId="0" applyNumberFormat="1" applyFont="1" applyFill="1" applyBorder="1" applyAlignment="1">
      <alignment horizontal="right"/>
    </xf>
    <xf numFmtId="49" fontId="153" fillId="0" borderId="35" xfId="0" applyNumberFormat="1" applyFont="1" applyFill="1" applyBorder="1" applyAlignment="1">
      <alignment horizontal="left" indent="1"/>
    </xf>
    <xf numFmtId="4" fontId="153" fillId="0" borderId="126" xfId="0" applyNumberFormat="1" applyFont="1" applyFill="1" applyBorder="1" applyAlignment="1">
      <alignment horizontal="right" indent="1"/>
    </xf>
    <xf numFmtId="4" fontId="153" fillId="0" borderId="27" xfId="0" applyNumberFormat="1" applyFont="1" applyFill="1" applyBorder="1" applyAlignment="1">
      <alignment horizontal="right" indent="1"/>
    </xf>
    <xf numFmtId="4" fontId="153" fillId="0" borderId="35" xfId="0" applyNumberFormat="1" applyFont="1" applyFill="1" applyBorder="1" applyAlignment="1">
      <alignment horizontal="right" indent="1"/>
    </xf>
    <xf numFmtId="0" fontId="154" fillId="0" borderId="0" xfId="0" applyFont="1" applyFill="1"/>
    <xf numFmtId="49" fontId="15" fillId="0" borderId="159" xfId="0" applyNumberFormat="1" applyFont="1" applyFill="1" applyBorder="1" applyAlignment="1">
      <alignment horizontal="right"/>
    </xf>
    <xf numFmtId="49" fontId="15" fillId="0" borderId="160" xfId="0" applyNumberFormat="1" applyFont="1" applyFill="1" applyBorder="1" applyAlignment="1">
      <alignment horizontal="left" indent="1"/>
    </xf>
    <xf numFmtId="4" fontId="15" fillId="0" borderId="161" xfId="0" applyNumberFormat="1" applyFont="1" applyFill="1" applyBorder="1" applyAlignment="1">
      <alignment horizontal="right" indent="1"/>
    </xf>
    <xf numFmtId="4" fontId="15" fillId="0" borderId="162" xfId="0" applyNumberFormat="1" applyFont="1" applyFill="1" applyBorder="1" applyAlignment="1">
      <alignment horizontal="right" indent="1"/>
    </xf>
    <xf numFmtId="4" fontId="15" fillId="0" borderId="160" xfId="0" applyNumberFormat="1" applyFont="1" applyFill="1" applyBorder="1" applyAlignment="1">
      <alignment horizontal="right" indent="1"/>
    </xf>
    <xf numFmtId="0" fontId="153" fillId="0" borderId="34" xfId="0" applyFont="1" applyFill="1" applyBorder="1"/>
    <xf numFmtId="49" fontId="153" fillId="0" borderId="140" xfId="0" applyNumberFormat="1" applyFont="1" applyFill="1" applyBorder="1" applyAlignment="1">
      <alignment horizontal="left" indent="1"/>
    </xf>
    <xf numFmtId="4" fontId="153" fillId="0" borderId="123" xfId="0" applyNumberFormat="1" applyFont="1" applyFill="1" applyBorder="1" applyAlignment="1">
      <alignment horizontal="right" indent="1"/>
    </xf>
    <xf numFmtId="4" fontId="153" fillId="0" borderId="21" xfId="0" applyNumberFormat="1" applyFont="1" applyFill="1" applyBorder="1" applyAlignment="1">
      <alignment horizontal="right" indent="1"/>
    </xf>
    <xf numFmtId="4" fontId="153" fillId="0" borderId="140" xfId="0" applyNumberFormat="1" applyFont="1" applyFill="1" applyBorder="1" applyAlignment="1">
      <alignment horizontal="right" indent="1"/>
    </xf>
    <xf numFmtId="49" fontId="15" fillId="0" borderId="163" xfId="0" applyNumberFormat="1" applyFont="1" applyFill="1" applyBorder="1" applyAlignment="1">
      <alignment horizontal="right"/>
    </xf>
    <xf numFmtId="49" fontId="15" fillId="0" borderId="47" xfId="0" applyNumberFormat="1" applyFont="1" applyFill="1" applyBorder="1" applyAlignment="1">
      <alignment horizontal="right"/>
    </xf>
    <xf numFmtId="49" fontId="15" fillId="0" borderId="140" xfId="0" applyNumberFormat="1" applyFont="1" applyFill="1" applyBorder="1" applyAlignment="1">
      <alignment horizontal="left" indent="1"/>
    </xf>
    <xf numFmtId="0" fontId="10" fillId="0" borderId="0" xfId="0" applyFont="1" applyFill="1" applyBorder="1" applyAlignment="1">
      <alignment horizontal="left" vertical="center" indent="2"/>
    </xf>
    <xf numFmtId="0" fontId="15" fillId="0" borderId="0" xfId="0" applyFont="1" applyFill="1" applyBorder="1" applyAlignment="1">
      <alignment vertical="center"/>
    </xf>
    <xf numFmtId="0" fontId="154" fillId="0" borderId="0" xfId="0" applyFont="1" applyFill="1" applyBorder="1" applyAlignment="1">
      <alignment vertical="center"/>
    </xf>
    <xf numFmtId="3" fontId="154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left" indent="1"/>
    </xf>
    <xf numFmtId="3" fontId="15" fillId="0" borderId="0" xfId="0" applyNumberFormat="1" applyFont="1" applyFill="1" applyBorder="1" applyAlignment="1">
      <alignment horizontal="right" indent="1"/>
    </xf>
    <xf numFmtId="170" fontId="15" fillId="0" borderId="0" xfId="0" applyNumberFormat="1" applyFont="1" applyFill="1" applyBorder="1" applyAlignment="1">
      <alignment horizontal="center"/>
    </xf>
    <xf numFmtId="0" fontId="154" fillId="0" borderId="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/>
    </xf>
    <xf numFmtId="0" fontId="26" fillId="0" borderId="164" xfId="0" applyFont="1" applyFill="1" applyBorder="1" applyAlignment="1">
      <alignment horizontal="center" vertical="center"/>
    </xf>
    <xf numFmtId="3" fontId="15" fillId="0" borderId="108" xfId="0" applyNumberFormat="1" applyFont="1" applyFill="1" applyBorder="1" applyAlignment="1">
      <alignment horizontal="center"/>
    </xf>
    <xf numFmtId="3" fontId="15" fillId="0" borderId="109" xfId="0" applyNumberFormat="1" applyFont="1" applyFill="1" applyBorder="1" applyAlignment="1">
      <alignment horizontal="center"/>
    </xf>
    <xf numFmtId="3" fontId="15" fillId="0" borderId="117" xfId="0" applyNumberFormat="1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 vertical="center"/>
    </xf>
    <xf numFmtId="3" fontId="15" fillId="0" borderId="0" xfId="0" applyNumberFormat="1" applyFont="1" applyFill="1" applyBorder="1" applyAlignment="1">
      <alignment horizontal="center"/>
    </xf>
    <xf numFmtId="0" fontId="154" fillId="0" borderId="26" xfId="0" applyFont="1" applyFill="1" applyBorder="1"/>
    <xf numFmtId="49" fontId="15" fillId="0" borderId="101" xfId="0" applyNumberFormat="1" applyFont="1" applyFill="1" applyBorder="1" applyAlignment="1">
      <alignment horizontal="left" indent="1"/>
    </xf>
    <xf numFmtId="3" fontId="154" fillId="0" borderId="39" xfId="0" applyNumberFormat="1" applyFont="1" applyFill="1" applyBorder="1" applyAlignment="1">
      <alignment horizontal="right" indent="1"/>
    </xf>
    <xf numFmtId="3" fontId="154" fillId="0" borderId="36" xfId="0" applyNumberFormat="1" applyFont="1" applyFill="1" applyBorder="1" applyAlignment="1">
      <alignment horizontal="right" indent="1"/>
    </xf>
    <xf numFmtId="3" fontId="154" fillId="0" borderId="101" xfId="0" applyNumberFormat="1" applyFont="1" applyFill="1" applyBorder="1" applyAlignment="1">
      <alignment horizontal="right" indent="1"/>
    </xf>
    <xf numFmtId="3" fontId="154" fillId="0" borderId="37" xfId="0" applyNumberFormat="1" applyFont="1" applyFill="1" applyBorder="1" applyAlignment="1">
      <alignment horizontal="right" indent="1"/>
    </xf>
    <xf numFmtId="3" fontId="154" fillId="0" borderId="0" xfId="0" applyNumberFormat="1" applyFont="1" applyFill="1" applyBorder="1" applyAlignment="1">
      <alignment horizontal="right" indent="1"/>
    </xf>
    <xf numFmtId="3" fontId="10" fillId="0" borderId="130" xfId="0" applyNumberFormat="1" applyFont="1" applyFill="1" applyBorder="1" applyAlignment="1">
      <alignment horizontal="right" indent="1"/>
    </xf>
    <xf numFmtId="3" fontId="153" fillId="0" borderId="0" xfId="0" applyNumberFormat="1" applyFont="1" applyFill="1" applyBorder="1" applyAlignment="1">
      <alignment horizontal="right" indent="1"/>
    </xf>
    <xf numFmtId="4" fontId="15" fillId="0" borderId="165" xfId="0" applyNumberFormat="1" applyFont="1" applyFill="1" applyBorder="1" applyAlignment="1">
      <alignment horizontal="right" indent="1"/>
    </xf>
    <xf numFmtId="4" fontId="15" fillId="0" borderId="166" xfId="0" applyNumberFormat="1" applyFont="1" applyFill="1" applyBorder="1" applyAlignment="1">
      <alignment horizontal="right" indent="1"/>
    </xf>
    <xf numFmtId="4" fontId="154" fillId="0" borderId="0" xfId="0" applyNumberFormat="1" applyFont="1" applyFill="1" applyBorder="1" applyAlignment="1">
      <alignment horizontal="right" indent="1"/>
    </xf>
    <xf numFmtId="4" fontId="15" fillId="0" borderId="112" xfId="0" applyNumberFormat="1" applyFont="1" applyFill="1" applyBorder="1" applyAlignment="1">
      <alignment horizontal="right" indent="1"/>
    </xf>
    <xf numFmtId="4" fontId="15" fillId="0" borderId="116" xfId="0" applyNumberFormat="1" applyFont="1" applyFill="1" applyBorder="1" applyAlignment="1">
      <alignment horizontal="right" indent="1"/>
    </xf>
    <xf numFmtId="4" fontId="15" fillId="0" borderId="0" xfId="0" applyNumberFormat="1" applyFont="1" applyFill="1" applyBorder="1"/>
    <xf numFmtId="4" fontId="153" fillId="0" borderId="42" xfId="0" applyNumberFormat="1" applyFont="1" applyFill="1" applyBorder="1" applyAlignment="1">
      <alignment horizontal="right" indent="1"/>
    </xf>
    <xf numFmtId="4" fontId="153" fillId="0" borderId="0" xfId="0" applyNumberFormat="1" applyFont="1" applyFill="1" applyBorder="1" applyAlignment="1">
      <alignment horizontal="right" indent="1"/>
    </xf>
    <xf numFmtId="4" fontId="15" fillId="0" borderId="167" xfId="0" applyNumberFormat="1" applyFont="1" applyFill="1" applyBorder="1" applyAlignment="1">
      <alignment horizontal="right" indent="1"/>
    </xf>
    <xf numFmtId="4" fontId="15" fillId="0" borderId="0" xfId="0" applyNumberFormat="1" applyFont="1" applyFill="1" applyBorder="1" applyAlignment="1">
      <alignment horizontal="right" indent="1"/>
    </xf>
    <xf numFmtId="4" fontId="153" fillId="0" borderId="138" xfId="0" applyNumberFormat="1" applyFont="1" applyFill="1" applyBorder="1" applyAlignment="1">
      <alignment horizontal="right" indent="1"/>
    </xf>
    <xf numFmtId="4" fontId="154" fillId="0" borderId="161" xfId="0" applyNumberFormat="1" applyFont="1" applyFill="1" applyBorder="1" applyAlignment="1">
      <alignment horizontal="right" indent="1"/>
    </xf>
    <xf numFmtId="4" fontId="154" fillId="0" borderId="162" xfId="0" applyNumberFormat="1" applyFont="1" applyFill="1" applyBorder="1" applyAlignment="1">
      <alignment horizontal="right" indent="1"/>
    </xf>
    <xf numFmtId="4" fontId="154" fillId="0" borderId="148" xfId="0" applyNumberFormat="1" applyFont="1" applyFill="1" applyBorder="1" applyAlignment="1">
      <alignment horizontal="right" indent="1"/>
    </xf>
    <xf numFmtId="4" fontId="154" fillId="0" borderId="165" xfId="0" applyNumberFormat="1" applyFont="1" applyFill="1" applyBorder="1" applyAlignment="1">
      <alignment horizontal="right" indent="1"/>
    </xf>
    <xf numFmtId="4" fontId="154" fillId="0" borderId="166" xfId="0" applyNumberFormat="1" applyFont="1" applyFill="1" applyBorder="1" applyAlignment="1">
      <alignment horizontal="right" indent="1"/>
    </xf>
    <xf numFmtId="3" fontId="154" fillId="0" borderId="0" xfId="0" applyNumberFormat="1" applyFont="1" applyFill="1"/>
    <xf numFmtId="0" fontId="154" fillId="0" borderId="0" xfId="0" applyFont="1" applyFill="1" applyBorder="1"/>
    <xf numFmtId="3" fontId="154" fillId="0" borderId="0" xfId="0" applyNumberFormat="1" applyFont="1" applyFill="1" applyBorder="1"/>
    <xf numFmtId="0" fontId="15" fillId="0" borderId="25" xfId="0" applyFont="1" applyFill="1" applyBorder="1" applyAlignment="1">
      <alignment horizontal="center" vertical="center"/>
    </xf>
    <xf numFmtId="0" fontId="15" fillId="0" borderId="168" xfId="0" applyFont="1" applyFill="1" applyBorder="1" applyAlignment="1">
      <alignment horizontal="center" vertical="center" wrapText="1"/>
    </xf>
    <xf numFmtId="0" fontId="15" fillId="0" borderId="169" xfId="0" applyFont="1" applyFill="1" applyBorder="1" applyAlignment="1">
      <alignment horizontal="center" vertical="center"/>
    </xf>
    <xf numFmtId="0" fontId="15" fillId="0" borderId="41" xfId="0" applyFont="1" applyFill="1" applyBorder="1" applyAlignment="1">
      <alignment horizontal="center" vertical="center"/>
    </xf>
    <xf numFmtId="0" fontId="15" fillId="0" borderId="168" xfId="0" applyFont="1" applyFill="1" applyBorder="1" applyAlignment="1">
      <alignment horizontal="center" vertical="center"/>
    </xf>
    <xf numFmtId="0" fontId="15" fillId="0" borderId="170" xfId="0" applyFont="1" applyFill="1" applyBorder="1" applyAlignment="1">
      <alignment horizontal="center" vertical="center"/>
    </xf>
    <xf numFmtId="0" fontId="15" fillId="0" borderId="147" xfId="0" applyFont="1" applyFill="1" applyBorder="1"/>
    <xf numFmtId="49" fontId="15" fillId="0" borderId="151" xfId="0" applyNumberFormat="1" applyFont="1" applyFill="1" applyBorder="1" applyAlignment="1">
      <alignment horizontal="left" indent="1"/>
    </xf>
    <xf numFmtId="10" fontId="15" fillId="0" borderId="102" xfId="235" applyNumberFormat="1" applyFont="1" applyFill="1" applyBorder="1" applyAlignment="1">
      <alignment horizontal="center"/>
    </xf>
    <xf numFmtId="0" fontId="15" fillId="0" borderId="152" xfId="0" applyFont="1" applyFill="1" applyBorder="1" applyAlignment="1">
      <alignment horizontal="right"/>
    </xf>
    <xf numFmtId="3" fontId="15" fillId="0" borderId="0" xfId="0" applyNumberFormat="1" applyFont="1" applyFill="1" applyBorder="1"/>
    <xf numFmtId="4" fontId="154" fillId="0" borderId="0" xfId="0" applyNumberFormat="1" applyFont="1" applyFill="1" applyBorder="1"/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right" wrapText="1"/>
    </xf>
    <xf numFmtId="0" fontId="15" fillId="0" borderId="171" xfId="0" applyFont="1" applyFill="1" applyBorder="1" applyAlignment="1">
      <alignment horizontal="center" vertical="center" wrapText="1"/>
    </xf>
    <xf numFmtId="0" fontId="15" fillId="0" borderId="28" xfId="0" applyFont="1" applyFill="1" applyBorder="1" applyAlignment="1">
      <alignment horizontal="center" vertical="center" wrapText="1"/>
    </xf>
    <xf numFmtId="0" fontId="15" fillId="0" borderId="26" xfId="0" applyFont="1" applyFill="1" applyBorder="1" applyAlignment="1">
      <alignment horizontal="center" vertical="center"/>
    </xf>
    <xf numFmtId="0" fontId="15" fillId="0" borderId="101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/>
    </xf>
    <xf numFmtId="0" fontId="15" fillId="0" borderId="36" xfId="0" applyFont="1" applyFill="1" applyBorder="1" applyAlignment="1">
      <alignment horizontal="center" vertical="center"/>
    </xf>
    <xf numFmtId="0" fontId="15" fillId="0" borderId="101" xfId="0" applyFont="1" applyFill="1" applyBorder="1" applyAlignment="1">
      <alignment horizontal="center" vertical="center"/>
    </xf>
    <xf numFmtId="0" fontId="15" fillId="0" borderId="40" xfId="0" applyFont="1" applyFill="1" applyBorder="1" applyAlignment="1">
      <alignment horizontal="center" vertical="center"/>
    </xf>
    <xf numFmtId="0" fontId="122" fillId="0" borderId="0" xfId="0" applyFont="1" applyFill="1" applyBorder="1" applyAlignment="1">
      <alignment horizontal="center" vertical="center"/>
    </xf>
    <xf numFmtId="3" fontId="154" fillId="0" borderId="0" xfId="0" applyNumberFormat="1" applyFont="1" applyFill="1" applyBorder="1" applyAlignment="1">
      <alignment horizontal="center"/>
    </xf>
    <xf numFmtId="4" fontId="15" fillId="0" borderId="173" xfId="0" applyNumberFormat="1" applyFont="1" applyFill="1" applyBorder="1" applyAlignment="1">
      <alignment horizontal="right" indent="1"/>
    </xf>
    <xf numFmtId="4" fontId="154" fillId="0" borderId="0" xfId="0" applyNumberFormat="1" applyFont="1" applyFill="1"/>
    <xf numFmtId="0" fontId="15" fillId="0" borderId="0" xfId="0" applyFont="1" applyFill="1" applyAlignment="1"/>
    <xf numFmtId="0" fontId="23" fillId="0" borderId="0" xfId="0" applyFont="1" applyFill="1"/>
    <xf numFmtId="0" fontId="23" fillId="0" borderId="0" xfId="0" applyFont="1" applyFill="1" applyAlignment="1"/>
    <xf numFmtId="0" fontId="27" fillId="0" borderId="0" xfId="0" applyFont="1" applyFill="1" applyBorder="1"/>
    <xf numFmtId="0" fontId="23" fillId="0" borderId="0" xfId="0" applyFont="1" applyFill="1" applyAlignment="1">
      <alignment horizontal="right"/>
    </xf>
    <xf numFmtId="0" fontId="23" fillId="0" borderId="0" xfId="0" applyFont="1" applyFill="1" applyAlignment="1">
      <alignment horizontal="left"/>
    </xf>
    <xf numFmtId="0" fontId="156" fillId="0" borderId="0" xfId="0" applyFont="1" applyFill="1"/>
    <xf numFmtId="0" fontId="156" fillId="0" borderId="0" xfId="0" applyFont="1" applyFill="1" applyAlignment="1">
      <alignment horizontal="right"/>
    </xf>
    <xf numFmtId="0" fontId="157" fillId="0" borderId="0" xfId="0" applyFont="1" applyFill="1"/>
    <xf numFmtId="0" fontId="157" fillId="0" borderId="0" xfId="0" applyFont="1" applyFill="1" applyAlignment="1">
      <alignment horizontal="right"/>
    </xf>
    <xf numFmtId="0" fontId="157" fillId="0" borderId="0" xfId="0" applyFont="1" applyFill="1" applyAlignment="1">
      <alignment horizontal="left"/>
    </xf>
    <xf numFmtId="0" fontId="158" fillId="0" borderId="0" xfId="0" applyFont="1" applyFill="1" applyAlignment="1"/>
    <xf numFmtId="0" fontId="156" fillId="0" borderId="0" xfId="0" applyFont="1" applyFill="1" applyAlignment="1"/>
    <xf numFmtId="0" fontId="27" fillId="0" borderId="0" xfId="0" applyFont="1" applyFill="1" applyAlignment="1">
      <alignment horizontal="center" vertical="center"/>
    </xf>
    <xf numFmtId="0" fontId="13" fillId="0" borderId="135" xfId="0" applyFont="1" applyFill="1" applyBorder="1"/>
    <xf numFmtId="4" fontId="155" fillId="0" borderId="0" xfId="0" applyNumberFormat="1" applyFont="1" applyFill="1" applyBorder="1" applyAlignment="1">
      <alignment horizontal="right" indent="1"/>
    </xf>
    <xf numFmtId="0" fontId="23" fillId="0" borderId="0" xfId="0" applyFont="1" applyFill="1" applyBorder="1"/>
    <xf numFmtId="0" fontId="13" fillId="0" borderId="144" xfId="0" applyFont="1" applyFill="1" applyBorder="1" applyAlignment="1">
      <alignment horizontal="left" indent="1"/>
    </xf>
    <xf numFmtId="4" fontId="13" fillId="0" borderId="142" xfId="0" applyNumberFormat="1" applyFont="1" applyFill="1" applyBorder="1" applyAlignment="1">
      <alignment horizontal="right" indent="1"/>
    </xf>
    <xf numFmtId="4" fontId="13" fillId="0" borderId="132" xfId="0" applyNumberFormat="1" applyFont="1" applyFill="1" applyBorder="1" applyAlignment="1">
      <alignment horizontal="right" indent="1"/>
    </xf>
    <xf numFmtId="4" fontId="13" fillId="0" borderId="133" xfId="0" applyNumberFormat="1" applyFont="1" applyFill="1" applyBorder="1" applyAlignment="1">
      <alignment horizontal="right" indent="1"/>
    </xf>
    <xf numFmtId="4" fontId="13" fillId="0" borderId="130" xfId="0" applyNumberFormat="1" applyFont="1" applyFill="1" applyBorder="1" applyAlignment="1">
      <alignment horizontal="right" indent="1"/>
    </xf>
    <xf numFmtId="4" fontId="155" fillId="0" borderId="0" xfId="0" applyNumberFormat="1" applyFont="1" applyFill="1" applyBorder="1" applyAlignment="1">
      <alignment vertical="center"/>
    </xf>
    <xf numFmtId="10" fontId="155" fillId="0" borderId="108" xfId="235" applyNumberFormat="1" applyFont="1" applyFill="1" applyBorder="1" applyAlignment="1">
      <alignment horizontal="right" vertical="center"/>
    </xf>
    <xf numFmtId="10" fontId="155" fillId="0" borderId="109" xfId="235" applyNumberFormat="1" applyFont="1" applyFill="1" applyBorder="1" applyAlignment="1">
      <alignment horizontal="right" vertical="center"/>
    </xf>
    <xf numFmtId="10" fontId="155" fillId="0" borderId="117" xfId="235" applyNumberFormat="1" applyFont="1" applyFill="1" applyBorder="1" applyAlignment="1">
      <alignment horizontal="right" vertical="center"/>
    </xf>
    <xf numFmtId="0" fontId="13" fillId="0" borderId="0" xfId="0" applyFont="1" applyFill="1"/>
    <xf numFmtId="3" fontId="27" fillId="0" borderId="0" xfId="0" applyNumberFormat="1" applyFont="1" applyFill="1" applyBorder="1" applyAlignment="1">
      <alignment horizontal="right" indent="1"/>
    </xf>
    <xf numFmtId="0" fontId="27" fillId="0" borderId="0" xfId="0" applyFont="1" applyFill="1" applyAlignment="1">
      <alignment horizontal="right"/>
    </xf>
    <xf numFmtId="0" fontId="13" fillId="0" borderId="29" xfId="0" applyFont="1" applyFill="1" applyBorder="1" applyAlignment="1">
      <alignment horizontal="left" indent="1"/>
    </xf>
    <xf numFmtId="0" fontId="153" fillId="0" borderId="47" xfId="0" applyFont="1" applyFill="1" applyBorder="1"/>
    <xf numFmtId="0" fontId="13" fillId="0" borderId="108" xfId="0" applyFont="1" applyFill="1" applyBorder="1"/>
    <xf numFmtId="0" fontId="28" fillId="0" borderId="0" xfId="0" applyFont="1" applyFill="1"/>
    <xf numFmtId="0" fontId="156" fillId="0" borderId="0" xfId="0" applyFont="1" applyFill="1" applyAlignment="1">
      <alignment vertical="center"/>
    </xf>
    <xf numFmtId="0" fontId="156" fillId="0" borderId="0" xfId="0" applyFont="1" applyFill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24" fillId="0" borderId="44" xfId="0" applyFont="1" applyFill="1" applyBorder="1" applyAlignment="1">
      <alignment vertical="center" wrapText="1"/>
    </xf>
    <xf numFmtId="0" fontId="24" fillId="0" borderId="14" xfId="0" applyFont="1" applyFill="1" applyBorder="1" applyAlignment="1">
      <alignment vertical="center" wrapText="1"/>
    </xf>
    <xf numFmtId="0" fontId="23" fillId="0" borderId="15" xfId="0" applyFont="1" applyFill="1" applyBorder="1" applyAlignment="1">
      <alignment horizontal="left" vertical="center" wrapText="1" indent="4"/>
    </xf>
    <xf numFmtId="0" fontId="23" fillId="0" borderId="0" xfId="0" applyFont="1" applyFill="1" applyBorder="1" applyAlignment="1">
      <alignment horizontal="right" inden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44" xfId="0" applyFont="1" applyFill="1" applyBorder="1" applyAlignment="1">
      <alignment horizontal="center" vertical="center"/>
    </xf>
    <xf numFmtId="0" fontId="15" fillId="0" borderId="120" xfId="0" applyFont="1" applyFill="1" applyBorder="1" applyAlignment="1">
      <alignment horizontal="center" vertical="center"/>
    </xf>
    <xf numFmtId="0" fontId="15" fillId="0" borderId="44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/>
    </xf>
    <xf numFmtId="0" fontId="23" fillId="0" borderId="0" xfId="0" applyFont="1" applyFill="1" applyAlignment="1">
      <alignment horizontal="center" vertical="center"/>
    </xf>
    <xf numFmtId="49" fontId="23" fillId="0" borderId="165" xfId="0" applyNumberFormat="1" applyFont="1" applyFill="1" applyBorder="1" applyAlignment="1">
      <alignment horizontal="right" indent="1"/>
    </xf>
    <xf numFmtId="49" fontId="23" fillId="0" borderId="174" xfId="0" applyNumberFormat="1" applyFont="1" applyFill="1" applyBorder="1" applyAlignment="1">
      <alignment horizontal="left" indent="1"/>
    </xf>
    <xf numFmtId="4" fontId="23" fillId="0" borderId="165" xfId="0" applyNumberFormat="1" applyFont="1" applyFill="1" applyBorder="1" applyAlignment="1">
      <alignment horizontal="right" indent="1"/>
    </xf>
    <xf numFmtId="4" fontId="23" fillId="0" borderId="148" xfId="0" applyNumberFormat="1" applyFont="1" applyFill="1" applyBorder="1" applyAlignment="1">
      <alignment horizontal="right" indent="1"/>
    </xf>
    <xf numFmtId="4" fontId="23" fillId="0" borderId="175" xfId="0" applyNumberFormat="1" applyFont="1" applyFill="1" applyBorder="1" applyAlignment="1">
      <alignment horizontal="right" indent="1"/>
    </xf>
    <xf numFmtId="4" fontId="23" fillId="0" borderId="176" xfId="0" applyNumberFormat="1" applyFont="1" applyFill="1" applyBorder="1" applyAlignment="1">
      <alignment horizontal="center"/>
    </xf>
    <xf numFmtId="10" fontId="15" fillId="0" borderId="104" xfId="235" applyNumberFormat="1" applyFont="1" applyFill="1" applyBorder="1"/>
    <xf numFmtId="49" fontId="23" fillId="0" borderId="113" xfId="0" applyNumberFormat="1" applyFont="1" applyFill="1" applyBorder="1" applyAlignment="1">
      <alignment horizontal="right" indent="1"/>
    </xf>
    <xf numFmtId="49" fontId="23" fillId="0" borderId="177" xfId="0" applyNumberFormat="1" applyFont="1" applyFill="1" applyBorder="1" applyAlignment="1">
      <alignment horizontal="left" indent="1"/>
    </xf>
    <xf numFmtId="4" fontId="23" fillId="0" borderId="113" xfId="0" applyNumberFormat="1" applyFont="1" applyFill="1" applyBorder="1" applyAlignment="1">
      <alignment horizontal="right" indent="1"/>
    </xf>
    <xf numFmtId="4" fontId="23" fillId="0" borderId="178" xfId="0" applyNumberFormat="1" applyFont="1" applyFill="1" applyBorder="1" applyAlignment="1">
      <alignment horizontal="right" indent="1"/>
    </xf>
    <xf numFmtId="4" fontId="23" fillId="0" borderId="179" xfId="0" applyNumberFormat="1" applyFont="1" applyFill="1" applyBorder="1" applyAlignment="1">
      <alignment horizontal="right" indent="1"/>
    </xf>
    <xf numFmtId="4" fontId="23" fillId="0" borderId="107" xfId="0" applyNumberFormat="1" applyFont="1" applyFill="1" applyBorder="1" applyAlignment="1">
      <alignment horizontal="center"/>
    </xf>
    <xf numFmtId="49" fontId="27" fillId="0" borderId="165" xfId="0" applyNumberFormat="1" applyFont="1" applyFill="1" applyBorder="1" applyAlignment="1">
      <alignment horizontal="right"/>
    </xf>
    <xf numFmtId="0" fontId="27" fillId="0" borderId="174" xfId="0" applyFont="1" applyFill="1" applyBorder="1" applyAlignment="1">
      <alignment horizontal="left"/>
    </xf>
    <xf numFmtId="49" fontId="27" fillId="0" borderId="102" xfId="0" applyNumberFormat="1" applyFont="1" applyFill="1" applyBorder="1" applyAlignment="1">
      <alignment horizontal="right"/>
    </xf>
    <xf numFmtId="0" fontId="27" fillId="0" borderId="153" xfId="0" applyFont="1" applyFill="1" applyBorder="1" applyAlignment="1">
      <alignment horizontal="left"/>
    </xf>
    <xf numFmtId="4" fontId="24" fillId="0" borderId="108" xfId="0" applyNumberFormat="1" applyFont="1" applyFill="1" applyBorder="1" applyAlignment="1">
      <alignment horizontal="right" vertical="center"/>
    </xf>
    <xf numFmtId="4" fontId="24" fillId="0" borderId="117" xfId="0" applyNumberFormat="1" applyFont="1" applyFill="1" applyBorder="1" applyAlignment="1">
      <alignment horizontal="right" vertical="center"/>
    </xf>
    <xf numFmtId="4" fontId="24" fillId="0" borderId="128" xfId="0" applyNumberFormat="1" applyFont="1" applyFill="1" applyBorder="1" applyAlignment="1">
      <alignment horizontal="right" vertical="center"/>
    </xf>
    <xf numFmtId="4" fontId="24" fillId="0" borderId="117" xfId="0" applyNumberFormat="1" applyFont="1" applyFill="1" applyBorder="1" applyAlignment="1">
      <alignment horizontal="center" vertical="center"/>
    </xf>
    <xf numFmtId="10" fontId="24" fillId="0" borderId="175" xfId="235" applyNumberFormat="1" applyFont="1" applyFill="1" applyBorder="1"/>
    <xf numFmtId="4" fontId="24" fillId="0" borderId="165" xfId="0" applyNumberFormat="1" applyFont="1" applyFill="1" applyBorder="1" applyAlignment="1">
      <alignment horizontal="center" wrapText="1"/>
    </xf>
    <xf numFmtId="4" fontId="24" fillId="0" borderId="151" xfId="0" applyNumberFormat="1" applyFont="1" applyFill="1" applyBorder="1" applyAlignment="1">
      <alignment horizontal="center" wrapText="1"/>
    </xf>
    <xf numFmtId="4" fontId="24" fillId="0" borderId="180" xfId="0" applyNumberFormat="1" applyFont="1" applyFill="1" applyBorder="1" applyAlignment="1">
      <alignment horizontal="center" wrapText="1"/>
    </xf>
    <xf numFmtId="4" fontId="15" fillId="0" borderId="102" xfId="0" applyNumberFormat="1" applyFont="1" applyFill="1" applyBorder="1"/>
    <xf numFmtId="4" fontId="15" fillId="0" borderId="151" xfId="0" applyNumberFormat="1" applyFont="1" applyFill="1" applyBorder="1"/>
    <xf numFmtId="10" fontId="15" fillId="0" borderId="175" xfId="235" applyNumberFormat="1" applyFont="1" applyFill="1" applyBorder="1"/>
    <xf numFmtId="4" fontId="13" fillId="0" borderId="112" xfId="0" applyNumberFormat="1" applyFont="1" applyFill="1" applyBorder="1" applyAlignment="1">
      <alignment horizontal="center" wrapText="1"/>
    </xf>
    <xf numFmtId="4" fontId="13" fillId="0" borderId="103" xfId="0" applyNumberFormat="1" applyFont="1" applyFill="1" applyBorder="1" applyAlignment="1">
      <alignment horizontal="center" wrapText="1"/>
    </xf>
    <xf numFmtId="4" fontId="13" fillId="0" borderId="102" xfId="0" applyNumberFormat="1" applyFont="1" applyFill="1" applyBorder="1" applyAlignment="1">
      <alignment horizontal="center" wrapText="1"/>
    </xf>
    <xf numFmtId="10" fontId="27" fillId="0" borderId="180" xfId="235" applyNumberFormat="1" applyFont="1" applyFill="1" applyBorder="1"/>
    <xf numFmtId="4" fontId="13" fillId="0" borderId="154" xfId="0" applyNumberFormat="1" applyFont="1" applyFill="1" applyBorder="1" applyAlignment="1">
      <alignment horizontal="center" wrapText="1"/>
    </xf>
    <xf numFmtId="10" fontId="13" fillId="0" borderId="180" xfId="235" applyNumberFormat="1" applyFont="1" applyFill="1" applyBorder="1"/>
    <xf numFmtId="4" fontId="13" fillId="0" borderId="154" xfId="0" applyNumberFormat="1" applyFont="1" applyFill="1" applyBorder="1" applyAlignment="1">
      <alignment horizontal="center"/>
    </xf>
    <xf numFmtId="4" fontId="13" fillId="0" borderId="106" xfId="0" applyNumberFormat="1" applyFont="1" applyFill="1" applyBorder="1" applyAlignment="1">
      <alignment horizontal="center"/>
    </xf>
    <xf numFmtId="10" fontId="13" fillId="0" borderId="120" xfId="235" applyNumberFormat="1" applyFont="1" applyFill="1" applyBorder="1"/>
    <xf numFmtId="3" fontId="23" fillId="0" borderId="0" xfId="0" applyNumberFormat="1" applyFont="1" applyFill="1" applyBorder="1"/>
    <xf numFmtId="0" fontId="24" fillId="0" borderId="0" xfId="0" applyFont="1" applyFill="1" applyBorder="1" applyAlignment="1"/>
    <xf numFmtId="3" fontId="23" fillId="0" borderId="0" xfId="0" applyNumberFormat="1" applyFont="1" applyFill="1" applyBorder="1" applyAlignment="1">
      <alignment horizontal="right" indent="1"/>
    </xf>
    <xf numFmtId="170" fontId="23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/>
    </xf>
    <xf numFmtId="0" fontId="15" fillId="0" borderId="145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7" fillId="0" borderId="165" xfId="0" applyFont="1" applyFill="1" applyBorder="1" applyAlignment="1">
      <alignment horizontal="right" vertical="center"/>
    </xf>
    <xf numFmtId="49" fontId="27" fillId="0" borderId="184" xfId="0" applyNumberFormat="1" applyFont="1" applyFill="1" applyBorder="1" applyAlignment="1">
      <alignment horizontal="left" indent="1"/>
    </xf>
    <xf numFmtId="0" fontId="27" fillId="0" borderId="116" xfId="0" applyFont="1" applyFill="1" applyBorder="1" applyAlignment="1">
      <alignment horizontal="right" vertical="center"/>
    </xf>
    <xf numFmtId="49" fontId="27" fillId="0" borderId="173" xfId="0" applyNumberFormat="1" applyFont="1" applyFill="1" applyBorder="1" applyAlignment="1">
      <alignment horizontal="left" indent="1"/>
    </xf>
    <xf numFmtId="4" fontId="24" fillId="0" borderId="30" xfId="0" applyNumberFormat="1" applyFont="1" applyFill="1" applyBorder="1" applyAlignment="1">
      <alignment horizontal="right" vertical="center"/>
    </xf>
    <xf numFmtId="3" fontId="24" fillId="0" borderId="108" xfId="0" applyNumberFormat="1" applyFont="1" applyFill="1" applyBorder="1" applyAlignment="1">
      <alignment horizontal="right" vertical="center"/>
    </xf>
    <xf numFmtId="3" fontId="24" fillId="0" borderId="117" xfId="0" applyNumberFormat="1" applyFont="1" applyFill="1" applyBorder="1" applyAlignment="1">
      <alignment horizontal="right" vertical="center"/>
    </xf>
    <xf numFmtId="10" fontId="24" fillId="0" borderId="128" xfId="235" applyNumberFormat="1" applyFont="1" applyFill="1" applyBorder="1"/>
    <xf numFmtId="0" fontId="24" fillId="0" borderId="0" xfId="0" applyFont="1" applyFill="1"/>
    <xf numFmtId="0" fontId="27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24" fillId="0" borderId="130" xfId="0" applyFont="1" applyFill="1" applyBorder="1" applyAlignment="1">
      <alignment horizontal="center" vertical="center" wrapText="1"/>
    </xf>
    <xf numFmtId="0" fontId="24" fillId="0" borderId="133" xfId="0" applyFont="1" applyFill="1" applyBorder="1" applyAlignment="1">
      <alignment horizontal="center" vertical="center" wrapText="1"/>
    </xf>
    <xf numFmtId="0" fontId="24" fillId="0" borderId="144" xfId="0" applyFont="1" applyFill="1" applyBorder="1" applyAlignment="1">
      <alignment horizontal="center" vertical="center" wrapText="1"/>
    </xf>
    <xf numFmtId="0" fontId="159" fillId="0" borderId="0" xfId="0" applyFont="1" applyFill="1"/>
    <xf numFmtId="0" fontId="24" fillId="0" borderId="44" xfId="0" applyFont="1" applyFill="1" applyBorder="1"/>
    <xf numFmtId="0" fontId="24" fillId="0" borderId="14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right" vertical="center" wrapText="1" indent="1"/>
    </xf>
    <xf numFmtId="0" fontId="24" fillId="0" borderId="0" xfId="0" applyFont="1" applyFill="1" applyBorder="1" applyAlignment="1">
      <alignment horizontal="right" vertical="center" wrapText="1" indent="1"/>
    </xf>
    <xf numFmtId="0" fontId="24" fillId="0" borderId="23" xfId="0" applyFont="1" applyFill="1" applyBorder="1" applyAlignment="1">
      <alignment horizontal="center" vertical="center" wrapText="1"/>
    </xf>
    <xf numFmtId="4" fontId="27" fillId="0" borderId="148" xfId="0" applyNumberFormat="1" applyFont="1" applyFill="1" applyBorder="1" applyAlignment="1">
      <alignment horizontal="center"/>
    </xf>
    <xf numFmtId="4" fontId="27" fillId="0" borderId="176" xfId="0" applyNumberFormat="1" applyFont="1" applyFill="1" applyBorder="1" applyAlignment="1">
      <alignment horizontal="center"/>
    </xf>
    <xf numFmtId="10" fontId="27" fillId="0" borderId="104" xfId="235" applyNumberFormat="1" applyFont="1" applyFill="1" applyBorder="1"/>
    <xf numFmtId="4" fontId="27" fillId="0" borderId="151" xfId="0" applyNumberFormat="1" applyFont="1" applyFill="1" applyBorder="1" applyAlignment="1">
      <alignment horizontal="center"/>
    </xf>
    <xf numFmtId="4" fontId="27" fillId="0" borderId="104" xfId="0" applyNumberFormat="1" applyFont="1" applyFill="1" applyBorder="1" applyAlignment="1">
      <alignment horizontal="center"/>
    </xf>
    <xf numFmtId="49" fontId="27" fillId="0" borderId="152" xfId="0" applyNumberFormat="1" applyFont="1" applyFill="1" applyBorder="1" applyAlignment="1">
      <alignment horizontal="right"/>
    </xf>
    <xf numFmtId="4" fontId="27" fillId="0" borderId="0" xfId="0" applyNumberFormat="1" applyFont="1" applyFill="1"/>
    <xf numFmtId="3" fontId="27" fillId="0" borderId="37" xfId="0" applyNumberFormat="1" applyFont="1" applyFill="1" applyBorder="1" applyAlignment="1">
      <alignment horizontal="center" vertical="center"/>
    </xf>
    <xf numFmtId="3" fontId="27" fillId="0" borderId="101" xfId="0" applyNumberFormat="1" applyFont="1" applyFill="1" applyBorder="1" applyAlignment="1">
      <alignment horizontal="center" vertical="center"/>
    </xf>
    <xf numFmtId="10" fontId="27" fillId="0" borderId="176" xfId="235" applyNumberFormat="1" applyFont="1" applyFill="1" applyBorder="1"/>
    <xf numFmtId="0" fontId="27" fillId="0" borderId="0" xfId="0" applyFont="1" applyFill="1" applyBorder="1" applyAlignment="1">
      <alignment horizontal="center"/>
    </xf>
    <xf numFmtId="3" fontId="27" fillId="0" borderId="42" xfId="0" applyNumberFormat="1" applyFont="1" applyFill="1" applyBorder="1" applyAlignment="1">
      <alignment horizontal="center" vertical="center"/>
    </xf>
    <xf numFmtId="3" fontId="27" fillId="0" borderId="35" xfId="0" applyNumberFormat="1" applyFont="1" applyFill="1" applyBorder="1" applyAlignment="1">
      <alignment horizontal="center" vertical="center"/>
    </xf>
    <xf numFmtId="4" fontId="27" fillId="0" borderId="165" xfId="0" applyNumberFormat="1" applyFont="1" applyFill="1" applyBorder="1" applyAlignment="1">
      <alignment horizontal="right"/>
    </xf>
    <xf numFmtId="4" fontId="27" fillId="0" borderId="148" xfId="0" applyNumberFormat="1" applyFont="1" applyFill="1" applyBorder="1" applyAlignment="1">
      <alignment horizontal="right"/>
    </xf>
    <xf numFmtId="4" fontId="27" fillId="0" borderId="175" xfId="0" applyNumberFormat="1" applyFont="1" applyFill="1" applyBorder="1" applyAlignment="1">
      <alignment horizontal="right"/>
    </xf>
    <xf numFmtId="4" fontId="27" fillId="0" borderId="102" xfId="0" applyNumberFormat="1" applyFont="1" applyFill="1" applyBorder="1" applyAlignment="1">
      <alignment horizontal="right"/>
    </xf>
    <xf numFmtId="4" fontId="27" fillId="0" borderId="151" xfId="0" applyNumberFormat="1" applyFont="1" applyFill="1" applyBorder="1" applyAlignment="1">
      <alignment horizontal="right"/>
    </xf>
    <xf numFmtId="4" fontId="27" fillId="0" borderId="180" xfId="0" applyNumberFormat="1" applyFont="1" applyFill="1" applyBorder="1" applyAlignment="1">
      <alignment horizontal="right"/>
    </xf>
    <xf numFmtId="4" fontId="13" fillId="0" borderId="112" xfId="0" applyNumberFormat="1" applyFont="1" applyFill="1" applyBorder="1" applyAlignment="1">
      <alignment horizontal="right" wrapText="1"/>
    </xf>
    <xf numFmtId="4" fontId="13" fillId="0" borderId="154" xfId="0" applyNumberFormat="1" applyFont="1" applyFill="1" applyBorder="1" applyAlignment="1">
      <alignment horizontal="right" wrapText="1"/>
    </xf>
    <xf numFmtId="4" fontId="13" fillId="0" borderId="112" xfId="0" applyNumberFormat="1" applyFont="1" applyFill="1" applyBorder="1" applyAlignment="1">
      <alignment horizontal="right"/>
    </xf>
    <xf numFmtId="4" fontId="13" fillId="0" borderId="154" xfId="0" applyNumberFormat="1" applyFont="1" applyFill="1" applyBorder="1" applyAlignment="1">
      <alignment horizontal="right"/>
    </xf>
    <xf numFmtId="4" fontId="13" fillId="0" borderId="113" xfId="0" applyNumberFormat="1" applyFont="1" applyFill="1" applyBorder="1" applyAlignment="1">
      <alignment horizontal="right"/>
    </xf>
    <xf numFmtId="4" fontId="13" fillId="0" borderId="106" xfId="0" applyNumberFormat="1" applyFont="1" applyFill="1" applyBorder="1" applyAlignment="1">
      <alignment horizontal="right"/>
    </xf>
    <xf numFmtId="4" fontId="27" fillId="0" borderId="37" xfId="0" applyNumberFormat="1" applyFont="1" applyFill="1" applyBorder="1" applyAlignment="1">
      <alignment horizontal="right" vertical="center"/>
    </xf>
    <xf numFmtId="4" fontId="27" fillId="0" borderId="101" xfId="0" applyNumberFormat="1" applyFont="1" applyFill="1" applyBorder="1" applyAlignment="1">
      <alignment horizontal="right" vertical="center"/>
    </xf>
    <xf numFmtId="4" fontId="27" fillId="0" borderId="134" xfId="0" applyNumberFormat="1" applyFont="1" applyFill="1" applyBorder="1" applyAlignment="1">
      <alignment horizontal="right" vertical="center"/>
    </xf>
    <xf numFmtId="4" fontId="27" fillId="0" borderId="42" xfId="0" applyNumberFormat="1" applyFont="1" applyFill="1" applyBorder="1" applyAlignment="1">
      <alignment horizontal="right" vertical="center"/>
    </xf>
    <xf numFmtId="4" fontId="27" fillId="0" borderId="35" xfId="0" applyNumberFormat="1" applyFont="1" applyFill="1" applyBorder="1" applyAlignment="1">
      <alignment horizontal="right" vertical="center"/>
    </xf>
    <xf numFmtId="4" fontId="27" fillId="0" borderId="121" xfId="0" applyNumberFormat="1" applyFont="1" applyFill="1" applyBorder="1" applyAlignment="1">
      <alignment horizontal="right" vertical="center"/>
    </xf>
    <xf numFmtId="0" fontId="28" fillId="0" borderId="0" xfId="0" applyFont="1" applyFill="1" applyAlignment="1">
      <alignment horizontal="right"/>
    </xf>
    <xf numFmtId="0" fontId="156" fillId="0" borderId="0" xfId="0" applyFont="1" applyFill="1" applyAlignment="1">
      <alignment horizontal="left" vertical="center"/>
    </xf>
    <xf numFmtId="0" fontId="160" fillId="0" borderId="0" xfId="0" applyFont="1" applyFill="1" applyAlignment="1"/>
    <xf numFmtId="0" fontId="160" fillId="0" borderId="0" xfId="0" applyFont="1" applyFill="1" applyAlignment="1">
      <alignment horizontal="left"/>
    </xf>
    <xf numFmtId="10" fontId="15" fillId="0" borderId="103" xfId="235" applyNumberFormat="1" applyFont="1" applyFill="1" applyBorder="1" applyAlignment="1">
      <alignment horizontal="right"/>
    </xf>
    <xf numFmtId="10" fontId="15" fillId="0" borderId="150" xfId="235" applyNumberFormat="1" applyFont="1" applyFill="1" applyBorder="1" applyAlignment="1">
      <alignment horizontal="right"/>
    </xf>
    <xf numFmtId="10" fontId="15" fillId="0" borderId="151" xfId="235" applyNumberFormat="1" applyFont="1" applyFill="1" applyBorder="1" applyAlignment="1">
      <alignment horizontal="right"/>
    </xf>
    <xf numFmtId="10" fontId="15" fillId="0" borderId="10" xfId="235" applyNumberFormat="1" applyFont="1" applyFill="1" applyBorder="1" applyAlignment="1">
      <alignment horizontal="right"/>
    </xf>
    <xf numFmtId="10" fontId="15" fillId="0" borderId="22" xfId="235" applyNumberFormat="1" applyFont="1" applyFill="1" applyBorder="1" applyAlignment="1">
      <alignment horizontal="right"/>
    </xf>
    <xf numFmtId="10" fontId="15" fillId="0" borderId="145" xfId="235" applyNumberFormat="1" applyFont="1" applyFill="1" applyBorder="1" applyAlignment="1">
      <alignment horizontal="right"/>
    </xf>
    <xf numFmtId="10" fontId="153" fillId="0" borderId="126" xfId="235" applyNumberFormat="1" applyFont="1" applyFill="1" applyBorder="1" applyAlignment="1">
      <alignment horizontal="right"/>
    </xf>
    <xf numFmtId="10" fontId="153" fillId="0" borderId="27" xfId="235" applyNumberFormat="1" applyFont="1" applyFill="1" applyBorder="1" applyAlignment="1">
      <alignment horizontal="right"/>
    </xf>
    <xf numFmtId="10" fontId="153" fillId="0" borderId="35" xfId="235" applyNumberFormat="1" applyFont="1" applyFill="1" applyBorder="1" applyAlignment="1">
      <alignment horizontal="right"/>
    </xf>
    <xf numFmtId="10" fontId="153" fillId="0" borderId="123" xfId="235" applyNumberFormat="1" applyFont="1" applyFill="1" applyBorder="1" applyAlignment="1">
      <alignment horizontal="right"/>
    </xf>
    <xf numFmtId="10" fontId="153" fillId="0" borderId="21" xfId="235" applyNumberFormat="1" applyFont="1" applyFill="1" applyBorder="1" applyAlignment="1">
      <alignment horizontal="right"/>
    </xf>
    <xf numFmtId="10" fontId="153" fillId="0" borderId="140" xfId="235" applyNumberFormat="1" applyFont="1" applyFill="1" applyBorder="1" applyAlignment="1">
      <alignment horizontal="right"/>
    </xf>
    <xf numFmtId="10" fontId="155" fillId="0" borderId="31" xfId="235" applyNumberFormat="1" applyFont="1" applyFill="1" applyBorder="1" applyAlignment="1">
      <alignment horizontal="right"/>
    </xf>
    <xf numFmtId="10" fontId="155" fillId="0" borderId="109" xfId="235" applyNumberFormat="1" applyFont="1" applyFill="1" applyBorder="1" applyAlignment="1">
      <alignment horizontal="right"/>
    </xf>
    <xf numFmtId="10" fontId="155" fillId="0" borderId="117" xfId="235" applyNumberFormat="1" applyFont="1" applyFill="1" applyBorder="1" applyAlignment="1">
      <alignment horizontal="right"/>
    </xf>
    <xf numFmtId="10" fontId="155" fillId="0" borderId="123" xfId="235" applyNumberFormat="1" applyFont="1" applyFill="1" applyBorder="1" applyAlignment="1">
      <alignment horizontal="right"/>
    </xf>
    <xf numFmtId="10" fontId="155" fillId="0" borderId="21" xfId="235" applyNumberFormat="1" applyFont="1" applyFill="1" applyBorder="1" applyAlignment="1">
      <alignment horizontal="right"/>
    </xf>
    <xf numFmtId="10" fontId="155" fillId="0" borderId="140" xfId="235" applyNumberFormat="1" applyFont="1" applyFill="1" applyBorder="1" applyAlignment="1">
      <alignment horizontal="right"/>
    </xf>
    <xf numFmtId="0" fontId="13" fillId="0" borderId="109" xfId="0" applyFont="1" applyFill="1" applyBorder="1" applyAlignment="1">
      <alignment horizontal="center" vertical="center" wrapText="1"/>
    </xf>
    <xf numFmtId="0" fontId="24" fillId="0" borderId="108" xfId="0" applyFont="1" applyFill="1" applyBorder="1" applyAlignment="1">
      <alignment horizontal="center" vertical="center" wrapText="1"/>
    </xf>
    <xf numFmtId="0" fontId="24" fillId="0" borderId="109" xfId="0" applyFont="1" applyFill="1" applyBorder="1" applyAlignment="1">
      <alignment horizontal="center" vertical="center" wrapText="1"/>
    </xf>
    <xf numFmtId="0" fontId="24" fillId="0" borderId="117" xfId="0" applyFont="1" applyFill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24" fillId="0" borderId="0" xfId="0" applyFont="1" applyFill="1" applyBorder="1"/>
    <xf numFmtId="0" fontId="24" fillId="0" borderId="24" xfId="0" applyFont="1" applyFill="1" applyBorder="1" applyAlignment="1">
      <alignment horizontal="center" vertical="center" wrapText="1"/>
    </xf>
    <xf numFmtId="0" fontId="161" fillId="0" borderId="0" xfId="0" applyFont="1" applyFill="1" applyBorder="1" applyAlignment="1">
      <alignment horizontal="center" vertical="center" wrapText="1"/>
    </xf>
    <xf numFmtId="0" fontId="13" fillId="0" borderId="108" xfId="0" applyFont="1" applyFill="1" applyBorder="1" applyAlignment="1">
      <alignment horizontal="right" vertical="center" indent="1"/>
    </xf>
    <xf numFmtId="4" fontId="13" fillId="0" borderId="31" xfId="0" applyNumberFormat="1" applyFont="1" applyFill="1" applyBorder="1" applyAlignment="1">
      <alignment horizontal="right" vertical="center" indent="1"/>
    </xf>
    <xf numFmtId="4" fontId="13" fillId="0" borderId="109" xfId="0" applyNumberFormat="1" applyFont="1" applyFill="1" applyBorder="1" applyAlignment="1">
      <alignment horizontal="right" vertical="center" indent="1"/>
    </xf>
    <xf numFmtId="4" fontId="13" fillId="0" borderId="117" xfId="0" applyNumberFormat="1" applyFont="1" applyFill="1" applyBorder="1" applyAlignment="1">
      <alignment horizontal="right" vertical="center" indent="1"/>
    </xf>
    <xf numFmtId="4" fontId="13" fillId="0" borderId="108" xfId="0" applyNumberFormat="1" applyFont="1" applyFill="1" applyBorder="1" applyAlignment="1">
      <alignment horizontal="right" vertical="center" indent="1"/>
    </xf>
    <xf numFmtId="4" fontId="155" fillId="0" borderId="0" xfId="0" applyNumberFormat="1" applyFont="1" applyFill="1" applyBorder="1" applyAlignment="1">
      <alignment horizontal="right" vertical="center" indent="1"/>
    </xf>
    <xf numFmtId="0" fontId="27" fillId="0" borderId="0" xfId="0" applyFont="1" applyFill="1" applyBorder="1" applyAlignment="1">
      <alignment horizontal="right" vertical="center" indent="1"/>
    </xf>
    <xf numFmtId="0" fontId="27" fillId="0" borderId="0" xfId="0" applyFont="1" applyFill="1" applyAlignment="1">
      <alignment horizontal="right" vertical="center" indent="1"/>
    </xf>
    <xf numFmtId="0" fontId="13" fillId="0" borderId="29" xfId="0" applyFont="1" applyFill="1" applyBorder="1" applyAlignment="1">
      <alignment horizontal="left" vertical="center" indent="1"/>
    </xf>
    <xf numFmtId="4" fontId="15" fillId="0" borderId="172" xfId="0" applyNumberFormat="1" applyFont="1" applyFill="1" applyBorder="1" applyAlignment="1">
      <alignment horizontal="right" indent="1"/>
    </xf>
    <xf numFmtId="0" fontId="13" fillId="0" borderId="28" xfId="0" applyFont="1" applyFill="1" applyBorder="1" applyAlignment="1">
      <alignment horizontal="right" vertical="center" indent="1"/>
    </xf>
    <xf numFmtId="0" fontId="13" fillId="0" borderId="117" xfId="0" applyFont="1" applyFill="1" applyBorder="1" applyAlignment="1">
      <alignment horizontal="right" vertical="center" indent="1"/>
    </xf>
    <xf numFmtId="10" fontId="13" fillId="0" borderId="108" xfId="235" applyNumberFormat="1" applyFont="1" applyFill="1" applyBorder="1" applyAlignment="1">
      <alignment horizontal="right" vertical="center" indent="1"/>
    </xf>
    <xf numFmtId="10" fontId="13" fillId="0" borderId="109" xfId="235" applyNumberFormat="1" applyFont="1" applyFill="1" applyBorder="1" applyAlignment="1">
      <alignment horizontal="right" vertical="center" indent="1"/>
    </xf>
    <xf numFmtId="10" fontId="13" fillId="0" borderId="117" xfId="235" applyNumberFormat="1" applyFont="1" applyFill="1" applyBorder="1" applyAlignment="1">
      <alignment horizontal="right" vertical="center" indent="1"/>
    </xf>
    <xf numFmtId="0" fontId="13" fillId="0" borderId="0" xfId="0" applyFont="1" applyFill="1" applyAlignment="1">
      <alignment horizontal="right" vertical="center" indent="1"/>
    </xf>
    <xf numFmtId="4" fontId="13" fillId="0" borderId="171" xfId="0" applyNumberFormat="1" applyFont="1" applyFill="1" applyBorder="1" applyAlignment="1">
      <alignment horizontal="right" vertical="center" indent="1"/>
    </xf>
    <xf numFmtId="3" fontId="155" fillId="0" borderId="0" xfId="0" applyNumberFormat="1" applyFont="1" applyFill="1" applyBorder="1" applyAlignment="1">
      <alignment horizontal="right" vertical="center" indent="1"/>
    </xf>
    <xf numFmtId="0" fontId="13" fillId="0" borderId="0" xfId="0" applyFont="1" applyFill="1" applyBorder="1" applyAlignment="1">
      <alignment horizontal="right" vertical="center" indent="1"/>
    </xf>
    <xf numFmtId="49" fontId="162" fillId="0" borderId="0" xfId="30" applyNumberFormat="1" applyFont="1" applyFill="1" applyAlignment="1" applyProtection="1">
      <alignment wrapText="1"/>
    </xf>
    <xf numFmtId="3" fontId="162" fillId="0" borderId="0" xfId="30" applyNumberFormat="1" applyFont="1" applyFill="1" applyAlignment="1" applyProtection="1">
      <alignment wrapText="1"/>
    </xf>
    <xf numFmtId="0" fontId="163" fillId="0" borderId="0" xfId="0" applyFont="1" applyFill="1" applyAlignment="1" applyProtection="1">
      <alignment horizontal="right"/>
    </xf>
    <xf numFmtId="0" fontId="164" fillId="0" borderId="0" xfId="0" applyFont="1" applyFill="1" applyAlignment="1" applyProtection="1">
      <alignment horizontal="right"/>
    </xf>
    <xf numFmtId="0" fontId="6" fillId="0" borderId="0" xfId="237" applyFont="1" applyFill="1" applyProtection="1"/>
    <xf numFmtId="0" fontId="46" fillId="0" borderId="23" xfId="30" applyFont="1" applyFill="1" applyBorder="1" applyAlignment="1" applyProtection="1">
      <alignment horizontal="center" vertical="center"/>
    </xf>
    <xf numFmtId="0" fontId="46" fillId="0" borderId="16" xfId="30" applyFont="1" applyFill="1" applyBorder="1" applyAlignment="1" applyProtection="1">
      <alignment horizontal="center" vertical="center"/>
    </xf>
    <xf numFmtId="0" fontId="46" fillId="0" borderId="16" xfId="30" applyFont="1" applyFill="1" applyBorder="1" applyAlignment="1" applyProtection="1">
      <alignment horizontal="center" vertical="center" wrapText="1"/>
    </xf>
    <xf numFmtId="0" fontId="46" fillId="0" borderId="144" xfId="238" applyFont="1" applyFill="1" applyBorder="1" applyAlignment="1" applyProtection="1">
      <alignment horizontal="center" wrapText="1"/>
    </xf>
    <xf numFmtId="0" fontId="46" fillId="0" borderId="119" xfId="30" applyFont="1" applyFill="1" applyBorder="1" applyAlignment="1" applyProtection="1">
      <alignment horizontal="center" vertical="center" wrapText="1"/>
    </xf>
    <xf numFmtId="0" fontId="46" fillId="0" borderId="0" xfId="30" applyFont="1" applyFill="1" applyAlignment="1" applyProtection="1">
      <alignment vertical="center"/>
    </xf>
    <xf numFmtId="0" fontId="46" fillId="0" borderId="24" xfId="30" applyFont="1" applyFill="1" applyBorder="1" applyAlignment="1" applyProtection="1">
      <alignment horizontal="center" vertical="center"/>
    </xf>
    <xf numFmtId="0" fontId="46" fillId="0" borderId="144" xfId="30" applyFont="1" applyFill="1" applyBorder="1" applyAlignment="1" applyProtection="1">
      <alignment horizontal="center" vertical="center"/>
    </xf>
    <xf numFmtId="0" fontId="15" fillId="0" borderId="0" xfId="236" applyFont="1" applyFill="1" applyProtection="1"/>
    <xf numFmtId="0" fontId="15" fillId="0" borderId="0" xfId="236" applyFont="1" applyFill="1" applyBorder="1" applyProtection="1"/>
    <xf numFmtId="49" fontId="167" fillId="0" borderId="28" xfId="30" applyNumberFormat="1" applyFont="1" applyFill="1" applyBorder="1" applyAlignment="1" applyProtection="1">
      <alignment horizontal="center" wrapText="1"/>
    </xf>
    <xf numFmtId="0" fontId="167" fillId="0" borderId="108" xfId="30" applyFont="1" applyFill="1" applyBorder="1" applyAlignment="1" applyProtection="1">
      <alignment horizontal="center" wrapText="1"/>
    </xf>
    <xf numFmtId="0" fontId="167" fillId="0" borderId="109" xfId="30" applyFont="1" applyFill="1" applyBorder="1" applyAlignment="1" applyProtection="1">
      <alignment horizontal="center" wrapText="1"/>
    </xf>
    <xf numFmtId="0" fontId="167" fillId="0" borderId="117" xfId="30" applyFont="1" applyFill="1" applyBorder="1" applyAlignment="1" applyProtection="1">
      <alignment horizontal="center" wrapText="1"/>
    </xf>
    <xf numFmtId="0" fontId="167" fillId="0" borderId="171" xfId="30" applyFont="1" applyFill="1" applyBorder="1" applyAlignment="1" applyProtection="1">
      <alignment horizontal="center" wrapText="1"/>
    </xf>
    <xf numFmtId="0" fontId="167" fillId="0" borderId="128" xfId="30" applyFont="1" applyFill="1" applyBorder="1" applyAlignment="1" applyProtection="1">
      <alignment horizontal="center" wrapText="1"/>
    </xf>
    <xf numFmtId="0" fontId="167" fillId="0" borderId="0" xfId="30" applyFont="1" applyFill="1" applyAlignment="1" applyProtection="1">
      <alignment wrapText="1"/>
    </xf>
    <xf numFmtId="0" fontId="168" fillId="58" borderId="128" xfId="0" applyFont="1" applyFill="1" applyBorder="1" applyAlignment="1" applyProtection="1">
      <alignment horizontal="center" vertical="center" wrapText="1"/>
    </xf>
    <xf numFmtId="49" fontId="166" fillId="0" borderId="134" xfId="30" applyNumberFormat="1" applyFont="1" applyFill="1" applyBorder="1" applyAlignment="1" applyProtection="1">
      <alignment vertical="center" wrapText="1"/>
    </xf>
    <xf numFmtId="3" fontId="166" fillId="0" borderId="169" xfId="30" applyNumberFormat="1" applyFont="1" applyFill="1" applyBorder="1" applyAlignment="1" applyProtection="1">
      <alignment vertical="center"/>
    </xf>
    <xf numFmtId="3" fontId="166" fillId="0" borderId="41" xfId="30" applyNumberFormat="1" applyFont="1" applyFill="1" applyBorder="1" applyAlignment="1" applyProtection="1">
      <alignment vertical="center"/>
    </xf>
    <xf numFmtId="3" fontId="166" fillId="0" borderId="168" xfId="30" applyNumberFormat="1" applyFont="1" applyFill="1" applyBorder="1" applyAlignment="1" applyProtection="1">
      <alignment vertical="center"/>
      <protection hidden="1"/>
    </xf>
    <xf numFmtId="3" fontId="166" fillId="0" borderId="37" xfId="30" applyNumberFormat="1" applyFont="1" applyFill="1" applyBorder="1" applyAlignment="1" applyProtection="1">
      <alignment vertical="center"/>
    </xf>
    <xf numFmtId="3" fontId="166" fillId="0" borderId="36" xfId="30" applyNumberFormat="1" applyFont="1" applyFill="1" applyBorder="1" applyAlignment="1" applyProtection="1">
      <alignment vertical="center"/>
    </xf>
    <xf numFmtId="3" fontId="166" fillId="0" borderId="137" xfId="30" applyNumberFormat="1" applyFont="1" applyFill="1" applyBorder="1" applyAlignment="1" applyProtection="1">
      <alignment vertical="center"/>
      <protection hidden="1"/>
    </xf>
    <xf numFmtId="3" fontId="166" fillId="0" borderId="168" xfId="30" applyNumberFormat="1" applyFont="1" applyFill="1" applyBorder="1" applyAlignment="1" applyProtection="1">
      <alignment vertical="center"/>
    </xf>
    <xf numFmtId="3" fontId="166" fillId="0" borderId="101" xfId="30" applyNumberFormat="1" applyFont="1" applyFill="1" applyBorder="1" applyAlignment="1" applyProtection="1">
      <alignment vertical="center"/>
    </xf>
    <xf numFmtId="3" fontId="166" fillId="0" borderId="101" xfId="30" applyNumberFormat="1" applyFont="1" applyFill="1" applyBorder="1" applyAlignment="1" applyProtection="1">
      <alignment vertical="center"/>
      <protection hidden="1"/>
    </xf>
    <xf numFmtId="3" fontId="166" fillId="0" borderId="186" xfId="30" applyNumberFormat="1" applyFont="1" applyFill="1" applyBorder="1" applyAlignment="1" applyProtection="1">
      <alignment vertical="center"/>
    </xf>
    <xf numFmtId="3" fontId="169" fillId="0" borderId="0" xfId="30" applyNumberFormat="1" applyFont="1" applyFill="1" applyAlignment="1" applyProtection="1">
      <alignment vertical="center"/>
    </xf>
    <xf numFmtId="4" fontId="166" fillId="0" borderId="169" xfId="30" applyNumberFormat="1" applyFont="1" applyFill="1" applyBorder="1" applyAlignment="1" applyProtection="1">
      <alignment vertical="center"/>
    </xf>
    <xf numFmtId="4" fontId="166" fillId="0" borderId="41" xfId="30" applyNumberFormat="1" applyFont="1" applyFill="1" applyBorder="1" applyAlignment="1" applyProtection="1">
      <alignment vertical="center"/>
    </xf>
    <xf numFmtId="4" fontId="166" fillId="0" borderId="37" xfId="30" applyNumberFormat="1" applyFont="1" applyFill="1" applyBorder="1" applyAlignment="1" applyProtection="1">
      <alignment vertical="center"/>
    </xf>
    <xf numFmtId="4" fontId="166" fillId="0" borderId="36" xfId="30" applyNumberFormat="1" applyFont="1" applyFill="1" applyBorder="1" applyAlignment="1" applyProtection="1">
      <alignment vertical="center"/>
    </xf>
    <xf numFmtId="4" fontId="166" fillId="0" borderId="101" xfId="30" applyNumberFormat="1" applyFont="1" applyFill="1" applyBorder="1" applyAlignment="1" applyProtection="1">
      <alignment vertical="center"/>
    </xf>
    <xf numFmtId="3" fontId="166" fillId="0" borderId="20" xfId="30" applyNumberFormat="1" applyFont="1" applyFill="1" applyBorder="1" applyAlignment="1" applyProtection="1">
      <alignment vertical="center"/>
    </xf>
    <xf numFmtId="4" fontId="166" fillId="0" borderId="168" xfId="30" applyNumberFormat="1" applyFont="1" applyFill="1" applyBorder="1" applyAlignment="1" applyProtection="1">
      <alignment vertical="center"/>
    </xf>
    <xf numFmtId="0" fontId="166" fillId="0" borderId="0" xfId="30" applyFont="1" applyFill="1" applyAlignment="1" applyProtection="1">
      <alignment vertical="center"/>
    </xf>
    <xf numFmtId="49" fontId="170" fillId="0" borderId="121" xfId="30" applyNumberFormat="1" applyFont="1" applyFill="1" applyBorder="1" applyAlignment="1" applyProtection="1">
      <alignment wrapText="1"/>
    </xf>
    <xf numFmtId="3" fontId="166" fillId="0" borderId="42" xfId="30" applyNumberFormat="1" applyFont="1" applyFill="1" applyBorder="1" applyProtection="1"/>
    <xf numFmtId="3" fontId="166" fillId="0" borderId="27" xfId="30" applyNumberFormat="1" applyFont="1" applyFill="1" applyBorder="1" applyAlignment="1" applyProtection="1">
      <alignment vertical="center"/>
    </xf>
    <xf numFmtId="3" fontId="166" fillId="0" borderId="35" xfId="30" applyNumberFormat="1" applyFont="1" applyFill="1" applyBorder="1" applyAlignment="1" applyProtection="1">
      <alignment vertical="center"/>
      <protection hidden="1"/>
    </xf>
    <xf numFmtId="3" fontId="166" fillId="0" borderId="129" xfId="30" applyNumberFormat="1" applyFont="1" applyFill="1" applyBorder="1" applyAlignment="1" applyProtection="1">
      <alignment vertical="center"/>
      <protection hidden="1"/>
    </xf>
    <xf numFmtId="3" fontId="166" fillId="0" borderId="42" xfId="30" applyNumberFormat="1" applyFont="1" applyFill="1" applyBorder="1" applyAlignment="1" applyProtection="1">
      <alignment vertical="center"/>
    </xf>
    <xf numFmtId="3" fontId="166" fillId="0" borderId="35" xfId="30" applyNumberFormat="1" applyFont="1" applyFill="1" applyBorder="1" applyAlignment="1" applyProtection="1">
      <alignment vertical="center"/>
    </xf>
    <xf numFmtId="3" fontId="166" fillId="0" borderId="121" xfId="30" applyNumberFormat="1" applyFont="1" applyFill="1" applyBorder="1" applyAlignment="1" applyProtection="1">
      <alignment vertical="center"/>
    </xf>
    <xf numFmtId="4" fontId="166" fillId="0" borderId="42" xfId="30" applyNumberFormat="1" applyFont="1" applyFill="1" applyBorder="1" applyProtection="1"/>
    <xf numFmtId="4" fontId="166" fillId="0" borderId="27" xfId="30" applyNumberFormat="1" applyFont="1" applyFill="1" applyBorder="1" applyAlignment="1" applyProtection="1">
      <alignment vertical="center"/>
    </xf>
    <xf numFmtId="4" fontId="166" fillId="0" borderId="42" xfId="30" applyNumberFormat="1" applyFont="1" applyFill="1" applyBorder="1" applyAlignment="1" applyProtection="1">
      <alignment vertical="center"/>
    </xf>
    <xf numFmtId="4" fontId="166" fillId="0" borderId="35" xfId="30" applyNumberFormat="1" applyFont="1" applyFill="1" applyBorder="1" applyAlignment="1" applyProtection="1">
      <alignment vertical="center"/>
    </xf>
    <xf numFmtId="3" fontId="166" fillId="0" borderId="125" xfId="30" applyNumberFormat="1" applyFont="1" applyFill="1" applyBorder="1" applyAlignment="1" applyProtection="1">
      <alignment vertical="center"/>
    </xf>
    <xf numFmtId="49" fontId="170" fillId="0" borderId="121" xfId="0" applyNumberFormat="1" applyFont="1" applyFill="1" applyBorder="1" applyAlignment="1" applyProtection="1">
      <alignment wrapText="1"/>
    </xf>
    <xf numFmtId="49" fontId="170" fillId="0" borderId="121" xfId="0" applyNumberFormat="1" applyFont="1" applyFill="1" applyBorder="1" applyAlignment="1" applyProtection="1">
      <alignment vertical="center" wrapText="1"/>
    </xf>
    <xf numFmtId="3" fontId="166" fillId="59" borderId="27" xfId="30" applyNumberFormat="1" applyFont="1" applyFill="1" applyBorder="1" applyAlignment="1" applyProtection="1">
      <alignment vertical="center"/>
    </xf>
    <xf numFmtId="3" fontId="166" fillId="0" borderId="27" xfId="30" applyNumberFormat="1" applyFont="1" applyFill="1" applyBorder="1" applyProtection="1"/>
    <xf numFmtId="3" fontId="166" fillId="0" borderId="35" xfId="30" applyNumberFormat="1" applyFont="1" applyFill="1" applyBorder="1" applyProtection="1">
      <protection hidden="1"/>
    </xf>
    <xf numFmtId="3" fontId="166" fillId="0" borderId="129" xfId="30" applyNumberFormat="1" applyFont="1" applyFill="1" applyBorder="1" applyProtection="1">
      <protection hidden="1"/>
    </xf>
    <xf numFmtId="3" fontId="166" fillId="0" borderId="35" xfId="30" applyNumberFormat="1" applyFont="1" applyFill="1" applyBorder="1" applyProtection="1"/>
    <xf numFmtId="3" fontId="166" fillId="0" borderId="121" xfId="30" applyNumberFormat="1" applyFont="1" applyFill="1" applyBorder="1" applyProtection="1"/>
    <xf numFmtId="4" fontId="166" fillId="0" borderId="27" xfId="30" applyNumberFormat="1" applyFont="1" applyFill="1" applyBorder="1" applyProtection="1"/>
    <xf numFmtId="3" fontId="166" fillId="0" borderId="125" xfId="30" applyNumberFormat="1" applyFont="1" applyFill="1" applyBorder="1" applyProtection="1"/>
    <xf numFmtId="4" fontId="166" fillId="0" borderId="35" xfId="30" applyNumberFormat="1" applyFont="1" applyFill="1" applyBorder="1" applyProtection="1"/>
    <xf numFmtId="3" fontId="166" fillId="0" borderId="129" xfId="30" applyNumberFormat="1" applyFont="1" applyFill="1" applyBorder="1" applyProtection="1"/>
    <xf numFmtId="49" fontId="166" fillId="0" borderId="121" xfId="30" applyNumberFormat="1" applyFont="1" applyFill="1" applyBorder="1" applyAlignment="1" applyProtection="1">
      <alignment vertical="center" wrapText="1"/>
    </xf>
    <xf numFmtId="3" fontId="166" fillId="60" borderId="27" xfId="30" applyNumberFormat="1" applyFont="1" applyFill="1" applyBorder="1" applyAlignment="1" applyProtection="1">
      <alignment vertical="center"/>
    </xf>
    <xf numFmtId="3" fontId="166" fillId="61" borderId="42" xfId="30" applyNumberFormat="1" applyFont="1" applyFill="1" applyBorder="1" applyAlignment="1" applyProtection="1">
      <alignment vertical="center"/>
      <protection locked="0"/>
    </xf>
    <xf numFmtId="3" fontId="166" fillId="61" borderId="27" xfId="30" applyNumberFormat="1" applyFont="1" applyFill="1" applyBorder="1" applyAlignment="1" applyProtection="1">
      <alignment vertical="center"/>
      <protection locked="0"/>
    </xf>
    <xf numFmtId="3" fontId="166" fillId="61" borderId="35" xfId="30" applyNumberFormat="1" applyFont="1" applyFill="1" applyBorder="1" applyAlignment="1" applyProtection="1">
      <alignment vertical="center"/>
      <protection locked="0"/>
    </xf>
    <xf numFmtId="3" fontId="166" fillId="0" borderId="27" xfId="30" applyNumberFormat="1" applyFont="1" applyFill="1" applyBorder="1" applyAlignment="1" applyProtection="1">
      <alignment vertical="center"/>
      <protection locked="0"/>
    </xf>
    <xf numFmtId="3" fontId="166" fillId="0" borderId="35" xfId="30" applyNumberFormat="1" applyFont="1" applyFill="1" applyBorder="1" applyAlignment="1" applyProtection="1">
      <alignment vertical="center"/>
      <protection locked="0"/>
    </xf>
    <xf numFmtId="0" fontId="166" fillId="0" borderId="0" xfId="30" applyFont="1" applyFill="1" applyProtection="1"/>
    <xf numFmtId="49" fontId="166" fillId="0" borderId="121" xfId="30" applyNumberFormat="1" applyFont="1" applyFill="1" applyBorder="1" applyAlignment="1">
      <alignment wrapText="1"/>
    </xf>
    <xf numFmtId="3" fontId="166" fillId="60" borderId="27" xfId="30" applyNumberFormat="1" applyFont="1" applyFill="1" applyBorder="1" applyProtection="1"/>
    <xf numFmtId="3" fontId="166" fillId="61" borderId="27" xfId="30" applyNumberFormat="1" applyFont="1" applyFill="1" applyBorder="1" applyProtection="1">
      <protection locked="0"/>
    </xf>
    <xf numFmtId="3" fontId="166" fillId="61" borderId="35" xfId="30" applyNumberFormat="1" applyFont="1" applyFill="1" applyBorder="1" applyProtection="1">
      <protection locked="0"/>
    </xf>
    <xf numFmtId="3" fontId="166" fillId="61" borderId="42" xfId="30" applyNumberFormat="1" applyFont="1" applyFill="1" applyBorder="1" applyProtection="1">
      <protection locked="0"/>
    </xf>
    <xf numFmtId="49" fontId="166" fillId="0" borderId="121" xfId="30" applyNumberFormat="1" applyFont="1" applyFill="1" applyBorder="1" applyAlignment="1" applyProtection="1">
      <alignment wrapText="1"/>
    </xf>
    <xf numFmtId="0" fontId="170" fillId="0" borderId="0" xfId="30" applyFont="1" applyFill="1" applyAlignment="1" applyProtection="1">
      <alignment vertical="center"/>
    </xf>
    <xf numFmtId="3" fontId="166" fillId="0" borderId="27" xfId="30" applyNumberFormat="1" applyFont="1" applyFill="1" applyBorder="1" applyProtection="1">
      <protection locked="0"/>
    </xf>
    <xf numFmtId="3" fontId="166" fillId="0" borderId="35" xfId="30" applyNumberFormat="1" applyFont="1" applyFill="1" applyBorder="1" applyProtection="1">
      <protection locked="0"/>
    </xf>
    <xf numFmtId="49" fontId="46" fillId="0" borderId="121" xfId="30" applyNumberFormat="1" applyFont="1" applyFill="1" applyBorder="1" applyAlignment="1" applyProtection="1">
      <alignment wrapText="1"/>
    </xf>
    <xf numFmtId="3" fontId="166" fillId="0" borderId="130" xfId="30" applyNumberFormat="1" applyFont="1" applyFill="1" applyBorder="1" applyProtection="1"/>
    <xf numFmtId="3" fontId="166" fillId="60" borderId="132" xfId="30" applyNumberFormat="1" applyFont="1" applyFill="1" applyBorder="1" applyProtection="1"/>
    <xf numFmtId="3" fontId="166" fillId="0" borderId="132" xfId="30" applyNumberFormat="1" applyFont="1" applyFill="1" applyBorder="1" applyProtection="1"/>
    <xf numFmtId="3" fontId="166" fillId="0" borderId="133" xfId="30" applyNumberFormat="1" applyFont="1" applyFill="1" applyBorder="1" applyProtection="1"/>
    <xf numFmtId="3" fontId="166" fillId="0" borderId="143" xfId="30" applyNumberFormat="1" applyFont="1" applyFill="1" applyBorder="1" applyProtection="1"/>
    <xf numFmtId="3" fontId="166" fillId="61" borderId="130" xfId="30" applyNumberFormat="1" applyFont="1" applyFill="1" applyBorder="1" applyProtection="1">
      <protection locked="0"/>
    </xf>
    <xf numFmtId="3" fontId="166" fillId="61" borderId="132" xfId="30" applyNumberFormat="1" applyFont="1" applyFill="1" applyBorder="1" applyProtection="1">
      <protection locked="0"/>
    </xf>
    <xf numFmtId="3" fontId="166" fillId="0" borderId="141" xfId="30" applyNumberFormat="1" applyFont="1" applyFill="1" applyBorder="1" applyProtection="1"/>
    <xf numFmtId="4" fontId="166" fillId="0" borderId="130" xfId="30" applyNumberFormat="1" applyFont="1" applyFill="1" applyBorder="1" applyProtection="1"/>
    <xf numFmtId="4" fontId="166" fillId="0" borderId="132" xfId="30" applyNumberFormat="1" applyFont="1" applyFill="1" applyBorder="1" applyProtection="1"/>
    <xf numFmtId="3" fontId="166" fillId="0" borderId="136" xfId="30" applyNumberFormat="1" applyFont="1" applyFill="1" applyBorder="1" applyProtection="1"/>
    <xf numFmtId="4" fontId="166" fillId="0" borderId="133" xfId="30" applyNumberFormat="1" applyFont="1" applyFill="1" applyBorder="1" applyProtection="1"/>
    <xf numFmtId="49" fontId="46" fillId="0" borderId="47" xfId="30" applyNumberFormat="1" applyFont="1" applyFill="1" applyBorder="1" applyAlignment="1" applyProtection="1">
      <alignment wrapText="1"/>
    </xf>
    <xf numFmtId="3" fontId="166" fillId="0" borderId="0" xfId="30" applyNumberFormat="1" applyFont="1" applyFill="1" applyBorder="1" applyProtection="1"/>
    <xf numFmtId="3" fontId="166" fillId="0" borderId="30" xfId="30" applyNumberFormat="1" applyFont="1" applyFill="1" applyBorder="1" applyProtection="1"/>
    <xf numFmtId="4" fontId="166" fillId="0" borderId="30" xfId="30" applyNumberFormat="1" applyFont="1" applyFill="1" applyBorder="1" applyProtection="1"/>
    <xf numFmtId="0" fontId="46" fillId="0" borderId="0" xfId="30" applyFont="1" applyFill="1" applyBorder="1" applyProtection="1"/>
    <xf numFmtId="49" fontId="166" fillId="0" borderId="128" xfId="30" applyNumberFormat="1" applyFont="1" applyFill="1" applyBorder="1" applyAlignment="1" applyProtection="1">
      <alignment vertical="center" wrapText="1"/>
    </xf>
    <xf numFmtId="3" fontId="166" fillId="0" borderId="108" xfId="30" applyNumberFormat="1" applyFont="1" applyFill="1" applyBorder="1" applyAlignment="1" applyProtection="1">
      <alignment vertical="center"/>
    </xf>
    <xf numFmtId="3" fontId="166" fillId="60" borderId="109" xfId="30" applyNumberFormat="1" applyFont="1" applyFill="1" applyBorder="1" applyAlignment="1" applyProtection="1">
      <alignment vertical="center"/>
    </xf>
    <xf numFmtId="3" fontId="166" fillId="59" borderId="109" xfId="30" applyNumberFormat="1" applyFont="1" applyFill="1" applyBorder="1" applyAlignment="1" applyProtection="1">
      <alignment vertical="center"/>
    </xf>
    <xf numFmtId="3" fontId="166" fillId="0" borderId="117" xfId="30" applyNumberFormat="1" applyFont="1" applyFill="1" applyBorder="1" applyAlignment="1" applyProtection="1">
      <alignment vertical="center"/>
      <protection hidden="1"/>
    </xf>
    <xf numFmtId="3" fontId="166" fillId="0" borderId="171" xfId="30" applyNumberFormat="1" applyFont="1" applyFill="1" applyBorder="1" applyAlignment="1" applyProtection="1">
      <alignment vertical="center"/>
      <protection hidden="1"/>
    </xf>
    <xf numFmtId="3" fontId="166" fillId="61" borderId="108" xfId="30" applyNumberFormat="1" applyFont="1" applyFill="1" applyBorder="1" applyAlignment="1" applyProtection="1">
      <alignment vertical="center"/>
      <protection locked="0"/>
    </xf>
    <xf numFmtId="3" fontId="166" fillId="59" borderId="109" xfId="30" applyNumberFormat="1" applyFont="1" applyFill="1" applyBorder="1" applyAlignment="1" applyProtection="1">
      <alignment vertical="center"/>
      <protection locked="0"/>
    </xf>
    <xf numFmtId="3" fontId="166" fillId="59" borderId="117" xfId="30" applyNumberFormat="1" applyFont="1" applyFill="1" applyBorder="1" applyAlignment="1" applyProtection="1">
      <alignment vertical="center"/>
      <protection locked="0"/>
    </xf>
    <xf numFmtId="3" fontId="166" fillId="61" borderId="31" xfId="30" applyNumberFormat="1" applyFont="1" applyFill="1" applyBorder="1" applyAlignment="1" applyProtection="1">
      <alignment vertical="center"/>
      <protection locked="0"/>
    </xf>
    <xf numFmtId="3" fontId="166" fillId="0" borderId="109" xfId="30" applyNumberFormat="1" applyFont="1" applyFill="1" applyBorder="1" applyAlignment="1" applyProtection="1">
      <alignment vertical="center"/>
    </xf>
    <xf numFmtId="3" fontId="166" fillId="61" borderId="109" xfId="30" applyNumberFormat="1" applyFont="1" applyFill="1" applyBorder="1" applyAlignment="1" applyProtection="1">
      <alignment vertical="center"/>
      <protection locked="0"/>
    </xf>
    <xf numFmtId="3" fontId="166" fillId="59" borderId="128" xfId="30" applyNumberFormat="1" applyFont="1" applyFill="1" applyBorder="1" applyAlignment="1" applyProtection="1">
      <alignment vertical="center"/>
      <protection locked="0"/>
    </xf>
    <xf numFmtId="4" fontId="166" fillId="0" borderId="108" xfId="30" applyNumberFormat="1" applyFont="1" applyFill="1" applyBorder="1" applyAlignment="1" applyProtection="1">
      <alignment vertical="center"/>
    </xf>
    <xf numFmtId="4" fontId="166" fillId="0" borderId="109" xfId="30" applyNumberFormat="1" applyFont="1" applyFill="1" applyBorder="1" applyAlignment="1" applyProtection="1">
      <alignment vertical="center"/>
    </xf>
    <xf numFmtId="4" fontId="166" fillId="0" borderId="171" xfId="30" applyNumberFormat="1" applyFont="1" applyFill="1" applyBorder="1" applyAlignment="1" applyProtection="1">
      <alignment vertical="center"/>
    </xf>
    <xf numFmtId="3" fontId="166" fillId="0" borderId="128" xfId="30" applyNumberFormat="1" applyFont="1" applyFill="1" applyBorder="1" applyAlignment="1" applyProtection="1">
      <alignment vertical="center"/>
    </xf>
    <xf numFmtId="4" fontId="166" fillId="0" borderId="117" xfId="30" applyNumberFormat="1" applyFont="1" applyFill="1" applyBorder="1" applyAlignment="1" applyProtection="1">
      <alignment vertical="center"/>
    </xf>
    <xf numFmtId="49" fontId="170" fillId="0" borderId="134" xfId="30" applyNumberFormat="1" applyFont="1" applyFill="1" applyBorder="1" applyAlignment="1" applyProtection="1">
      <alignment wrapText="1"/>
    </xf>
    <xf numFmtId="3" fontId="166" fillId="60" borderId="36" xfId="30" applyNumberFormat="1" applyFont="1" applyFill="1" applyBorder="1" applyAlignment="1" applyProtection="1">
      <alignment vertical="center"/>
    </xf>
    <xf numFmtId="3" fontId="166" fillId="61" borderId="37" xfId="30" applyNumberFormat="1" applyFont="1" applyFill="1" applyBorder="1" applyAlignment="1" applyProtection="1">
      <alignment vertical="center"/>
      <protection locked="0"/>
    </xf>
    <xf numFmtId="3" fontId="166" fillId="61" borderId="36" xfId="30" applyNumberFormat="1" applyFont="1" applyFill="1" applyBorder="1" applyAlignment="1" applyProtection="1">
      <alignment vertical="center"/>
      <protection locked="0"/>
    </xf>
    <xf numFmtId="3" fontId="166" fillId="61" borderId="101" xfId="30" applyNumberFormat="1" applyFont="1" applyFill="1" applyBorder="1" applyAlignment="1" applyProtection="1">
      <alignment vertical="center"/>
      <protection locked="0"/>
    </xf>
    <xf numFmtId="3" fontId="166" fillId="61" borderId="39" xfId="30" applyNumberFormat="1" applyFont="1" applyFill="1" applyBorder="1" applyAlignment="1" applyProtection="1">
      <alignment vertical="center"/>
      <protection locked="0"/>
    </xf>
    <xf numFmtId="3" fontId="166" fillId="61" borderId="19" xfId="30" applyNumberFormat="1" applyFont="1" applyFill="1" applyBorder="1" applyAlignment="1" applyProtection="1">
      <alignment vertical="center"/>
      <protection locked="0"/>
    </xf>
    <xf numFmtId="3" fontId="169" fillId="0" borderId="119" xfId="30" applyNumberFormat="1" applyFont="1" applyFill="1" applyBorder="1" applyAlignment="1" applyProtection="1">
      <alignment vertical="center"/>
    </xf>
    <xf numFmtId="3" fontId="166" fillId="0" borderId="134" xfId="30" applyNumberFormat="1" applyFont="1" applyFill="1" applyBorder="1" applyAlignment="1" applyProtection="1">
      <alignment vertical="center"/>
    </xf>
    <xf numFmtId="3" fontId="169" fillId="0" borderId="11" xfId="30" applyNumberFormat="1" applyFont="1" applyFill="1" applyBorder="1" applyAlignment="1" applyProtection="1">
      <alignment vertical="center"/>
    </xf>
    <xf numFmtId="49" fontId="170" fillId="0" borderId="121" xfId="81" applyNumberFormat="1" applyFont="1" applyFill="1" applyBorder="1" applyAlignment="1" applyProtection="1">
      <alignment wrapText="1"/>
    </xf>
    <xf numFmtId="3" fontId="166" fillId="0" borderId="169" xfId="30" applyNumberFormat="1" applyFont="1" applyFill="1" applyBorder="1" applyProtection="1"/>
    <xf numFmtId="3" fontId="166" fillId="60" borderId="41" xfId="30" applyNumberFormat="1" applyFont="1" applyFill="1" applyBorder="1" applyProtection="1"/>
    <xf numFmtId="3" fontId="166" fillId="0" borderId="170" xfId="30" applyNumberFormat="1" applyFont="1" applyFill="1" applyBorder="1" applyAlignment="1" applyProtection="1">
      <alignment vertical="center"/>
      <protection hidden="1"/>
    </xf>
    <xf numFmtId="3" fontId="166" fillId="61" borderId="169" xfId="30" applyNumberFormat="1" applyFont="1" applyFill="1" applyBorder="1" applyProtection="1">
      <protection locked="0"/>
    </xf>
    <xf numFmtId="3" fontId="166" fillId="61" borderId="41" xfId="30" applyNumberFormat="1" applyFont="1" applyFill="1" applyBorder="1" applyProtection="1">
      <protection locked="0"/>
    </xf>
    <xf numFmtId="3" fontId="166" fillId="61" borderId="168" xfId="30" applyNumberFormat="1" applyFont="1" applyFill="1" applyBorder="1" applyProtection="1">
      <protection locked="0"/>
    </xf>
    <xf numFmtId="3" fontId="166" fillId="61" borderId="40" xfId="30" applyNumberFormat="1" applyFont="1" applyFill="1" applyBorder="1" applyProtection="1">
      <protection locked="0"/>
    </xf>
    <xf numFmtId="3" fontId="166" fillId="0" borderId="41" xfId="30" applyNumberFormat="1" applyFont="1" applyFill="1" applyBorder="1" applyProtection="1"/>
    <xf numFmtId="4" fontId="166" fillId="0" borderId="42" xfId="0" applyNumberFormat="1" applyFont="1" applyFill="1" applyBorder="1" applyProtection="1"/>
    <xf numFmtId="4" fontId="166" fillId="0" borderId="169" xfId="30" applyNumberFormat="1" applyFont="1" applyFill="1" applyBorder="1" applyProtection="1"/>
    <xf numFmtId="4" fontId="166" fillId="0" borderId="41" xfId="30" applyNumberFormat="1" applyFont="1" applyFill="1" applyBorder="1" applyProtection="1"/>
    <xf numFmtId="4" fontId="166" fillId="0" borderId="168" xfId="30" applyNumberFormat="1" applyFont="1" applyFill="1" applyBorder="1" applyProtection="1"/>
    <xf numFmtId="3" fontId="166" fillId="0" borderId="42" xfId="0" applyNumberFormat="1" applyFont="1" applyFill="1" applyBorder="1" applyProtection="1"/>
    <xf numFmtId="3" fontId="166" fillId="61" borderId="126" xfId="30" applyNumberFormat="1" applyFont="1" applyFill="1" applyBorder="1" applyAlignment="1" applyProtection="1">
      <alignment vertical="center"/>
      <protection locked="0"/>
    </xf>
    <xf numFmtId="49" fontId="170" fillId="0" borderId="141" xfId="30" applyNumberFormat="1" applyFont="1" applyFill="1" applyBorder="1" applyAlignment="1" applyProtection="1">
      <alignment wrapText="1"/>
    </xf>
    <xf numFmtId="3" fontId="166" fillId="0" borderId="130" xfId="0" applyNumberFormat="1" applyFont="1" applyFill="1" applyBorder="1" applyProtection="1"/>
    <xf numFmtId="3" fontId="166" fillId="60" borderId="132" xfId="30" applyNumberFormat="1" applyFont="1" applyFill="1" applyBorder="1" applyAlignment="1" applyProtection="1">
      <alignment vertical="center"/>
    </xf>
    <xf numFmtId="3" fontId="166" fillId="0" borderId="133" xfId="30" applyNumberFormat="1" applyFont="1" applyFill="1" applyBorder="1" applyAlignment="1" applyProtection="1">
      <alignment vertical="center"/>
      <protection hidden="1"/>
    </xf>
    <xf numFmtId="3" fontId="166" fillId="0" borderId="143" xfId="30" applyNumberFormat="1" applyFont="1" applyFill="1" applyBorder="1" applyAlignment="1" applyProtection="1">
      <alignment vertical="center"/>
      <protection hidden="1"/>
    </xf>
    <xf numFmtId="3" fontId="166" fillId="61" borderId="130" xfId="30" applyNumberFormat="1" applyFont="1" applyFill="1" applyBorder="1" applyAlignment="1" applyProtection="1">
      <alignment vertical="center"/>
      <protection locked="0"/>
    </xf>
    <xf numFmtId="3" fontId="166" fillId="61" borderId="132" xfId="30" applyNumberFormat="1" applyFont="1" applyFill="1" applyBorder="1" applyAlignment="1" applyProtection="1">
      <alignment vertical="center"/>
      <protection locked="0"/>
    </xf>
    <xf numFmtId="3" fontId="166" fillId="61" borderId="133" xfId="30" applyNumberFormat="1" applyFont="1" applyFill="1" applyBorder="1" applyAlignment="1" applyProtection="1">
      <alignment vertical="center"/>
      <protection locked="0"/>
    </xf>
    <xf numFmtId="3" fontId="166" fillId="61" borderId="142" xfId="30" applyNumberFormat="1" applyFont="1" applyFill="1" applyBorder="1" applyAlignment="1" applyProtection="1">
      <alignment vertical="center"/>
      <protection locked="0"/>
    </xf>
    <xf numFmtId="3" fontId="166" fillId="0" borderId="132" xfId="30" applyNumberFormat="1" applyFont="1" applyFill="1" applyBorder="1" applyAlignment="1" applyProtection="1">
      <alignment vertical="center"/>
    </xf>
    <xf numFmtId="4" fontId="166" fillId="0" borderId="130" xfId="0" applyNumberFormat="1" applyFont="1" applyFill="1" applyBorder="1" applyProtection="1"/>
    <xf numFmtId="4" fontId="166" fillId="0" borderId="132" xfId="30" applyNumberFormat="1" applyFont="1" applyFill="1" applyBorder="1" applyAlignment="1" applyProtection="1">
      <alignment vertical="center"/>
    </xf>
    <xf numFmtId="4" fontId="166" fillId="0" borderId="130" xfId="30" applyNumberFormat="1" applyFont="1" applyFill="1" applyBorder="1" applyAlignment="1" applyProtection="1">
      <alignment vertical="center"/>
    </xf>
    <xf numFmtId="4" fontId="166" fillId="0" borderId="133" xfId="30" applyNumberFormat="1" applyFont="1" applyFill="1" applyBorder="1" applyAlignment="1" applyProtection="1">
      <alignment vertical="center"/>
    </xf>
    <xf numFmtId="3" fontId="166" fillId="0" borderId="141" xfId="30" applyNumberFormat="1" applyFont="1" applyFill="1" applyBorder="1" applyAlignment="1" applyProtection="1">
      <alignment vertical="center"/>
    </xf>
    <xf numFmtId="49" fontId="46" fillId="0" borderId="25" xfId="30" applyNumberFormat="1" applyFont="1" applyFill="1" applyBorder="1" applyAlignment="1" applyProtection="1">
      <alignment wrapText="1"/>
    </xf>
    <xf numFmtId="3" fontId="166" fillId="0" borderId="114" xfId="30" applyNumberFormat="1" applyFont="1" applyFill="1" applyBorder="1" applyProtection="1"/>
    <xf numFmtId="3" fontId="166" fillId="0" borderId="117" xfId="30" applyNumberFormat="1" applyFont="1" applyFill="1" applyBorder="1" applyAlignment="1" applyProtection="1">
      <alignment vertical="center"/>
    </xf>
    <xf numFmtId="3" fontId="166" fillId="0" borderId="29" xfId="30" applyNumberFormat="1" applyFont="1" applyFill="1" applyBorder="1" applyAlignment="1" applyProtection="1">
      <alignment vertical="center"/>
    </xf>
    <xf numFmtId="0" fontId="166" fillId="0" borderId="0" xfId="30" applyFont="1" applyFill="1" applyBorder="1" applyAlignment="1" applyProtection="1">
      <alignment vertical="center"/>
    </xf>
    <xf numFmtId="49" fontId="171" fillId="0" borderId="0" xfId="30" applyNumberFormat="1" applyFont="1" applyFill="1" applyBorder="1" applyAlignment="1" applyProtection="1">
      <alignment wrapText="1"/>
    </xf>
    <xf numFmtId="3" fontId="46" fillId="0" borderId="0" xfId="239" applyNumberFormat="1" applyFont="1" applyFill="1" applyBorder="1" applyProtection="1"/>
    <xf numFmtId="0" fontId="169" fillId="0" borderId="0" xfId="30" applyFont="1" applyFill="1" applyBorder="1" applyProtection="1"/>
    <xf numFmtId="3" fontId="169" fillId="0" borderId="0" xfId="239" applyNumberFormat="1" applyFont="1" applyFill="1" applyBorder="1" applyProtection="1"/>
    <xf numFmtId="3" fontId="169" fillId="0" borderId="0" xfId="30" applyNumberFormat="1" applyFont="1" applyFill="1" applyBorder="1" applyProtection="1"/>
    <xf numFmtId="2" fontId="160" fillId="0" borderId="0" xfId="236" applyNumberFormat="1" applyFont="1" applyFill="1" applyProtection="1">
      <protection locked="0"/>
    </xf>
    <xf numFmtId="2" fontId="160" fillId="0" borderId="0" xfId="240" applyNumberFormat="1" applyFont="1" applyFill="1" applyProtection="1">
      <protection locked="0"/>
    </xf>
    <xf numFmtId="0" fontId="173" fillId="0" borderId="0" xfId="30" applyFont="1" applyFill="1" applyBorder="1" applyProtection="1"/>
    <xf numFmtId="0" fontId="174" fillId="0" borderId="0" xfId="236" applyFont="1" applyFill="1" applyBorder="1" applyProtection="1"/>
    <xf numFmtId="0" fontId="6" fillId="0" borderId="0" xfId="236" applyFont="1" applyFill="1" applyBorder="1" applyProtection="1"/>
    <xf numFmtId="0" fontId="158" fillId="0" borderId="0" xfId="236" applyFont="1" applyFill="1" applyAlignment="1" applyProtection="1">
      <alignment horizontal="left"/>
    </xf>
    <xf numFmtId="4" fontId="144" fillId="0" borderId="0" xfId="236" applyNumberFormat="1" applyFont="1" applyFill="1" applyBorder="1" applyProtection="1"/>
    <xf numFmtId="3" fontId="6" fillId="0" borderId="0" xfId="236" applyNumberFormat="1" applyFont="1" applyFill="1" applyBorder="1" applyProtection="1"/>
    <xf numFmtId="0" fontId="158" fillId="0" borderId="0" xfId="236" applyFont="1" applyFill="1" applyBorder="1" applyProtection="1"/>
    <xf numFmtId="0" fontId="10" fillId="0" borderId="0" xfId="236" applyFont="1" applyFill="1" applyBorder="1" applyProtection="1"/>
    <xf numFmtId="3" fontId="10" fillId="0" borderId="0" xfId="236" applyNumberFormat="1" applyFont="1" applyFill="1" applyBorder="1" applyProtection="1"/>
    <xf numFmtId="49" fontId="170" fillId="0" borderId="0" xfId="30" applyNumberFormat="1" applyFont="1" applyFill="1" applyAlignment="1" applyProtection="1">
      <alignment wrapText="1"/>
    </xf>
    <xf numFmtId="0" fontId="170" fillId="0" borderId="0" xfId="30" applyFont="1" applyFill="1" applyProtection="1"/>
    <xf numFmtId="0" fontId="175" fillId="0" borderId="0" xfId="236" applyFont="1" applyFill="1" applyBorder="1" applyProtection="1"/>
    <xf numFmtId="0" fontId="7" fillId="0" borderId="0" xfId="236" applyFont="1" applyFill="1" applyBorder="1" applyProtection="1"/>
    <xf numFmtId="0" fontId="158" fillId="0" borderId="0" xfId="236" applyFont="1" applyFill="1" applyProtection="1"/>
    <xf numFmtId="0" fontId="10" fillId="0" borderId="0" xfId="236" applyFont="1" applyFill="1" applyProtection="1"/>
    <xf numFmtId="0" fontId="177" fillId="0" borderId="0" xfId="30" applyFont="1" applyFill="1" applyProtection="1"/>
    <xf numFmtId="0" fontId="47" fillId="0" borderId="0" xfId="236" applyFont="1" applyFill="1" applyProtection="1"/>
    <xf numFmtId="0" fontId="178" fillId="0" borderId="0" xfId="237" applyFont="1" applyFill="1" applyAlignment="1" applyProtection="1">
      <alignment vertical="center"/>
    </xf>
    <xf numFmtId="0" fontId="178" fillId="0" borderId="0" xfId="237" applyFont="1" applyFill="1" applyProtection="1"/>
    <xf numFmtId="49" fontId="160" fillId="0" borderId="0" xfId="30" applyNumberFormat="1" applyFont="1" applyFill="1" applyAlignment="1" applyProtection="1">
      <alignment wrapText="1"/>
    </xf>
    <xf numFmtId="3" fontId="46" fillId="0" borderId="0" xfId="30" applyNumberFormat="1" applyFont="1" applyFill="1" applyProtection="1"/>
    <xf numFmtId="3" fontId="166" fillId="59" borderId="27" xfId="30" applyNumberFormat="1" applyFont="1" applyFill="1" applyBorder="1" applyProtection="1">
      <protection locked="0"/>
    </xf>
    <xf numFmtId="3" fontId="166" fillId="61" borderId="27" xfId="30" applyNumberFormat="1" applyFont="1" applyFill="1" applyBorder="1" applyAlignment="1" applyProtection="1">
      <alignment horizontal="right" vertical="center"/>
      <protection locked="0"/>
    </xf>
    <xf numFmtId="0" fontId="143" fillId="0" borderId="16" xfId="30" applyFont="1" applyFill="1" applyBorder="1" applyAlignment="1" applyProtection="1">
      <alignment horizontal="center" vertical="center"/>
    </xf>
    <xf numFmtId="0" fontId="143" fillId="0" borderId="16" xfId="30" applyFont="1" applyFill="1" applyBorder="1" applyAlignment="1" applyProtection="1">
      <alignment horizontal="center" vertical="center" wrapText="1"/>
    </xf>
    <xf numFmtId="0" fontId="143" fillId="0" borderId="144" xfId="238" applyFont="1" applyFill="1" applyBorder="1" applyAlignment="1" applyProtection="1">
      <alignment horizontal="center" wrapText="1"/>
    </xf>
    <xf numFmtId="0" fontId="143" fillId="0" borderId="23" xfId="30" applyFont="1" applyFill="1" applyBorder="1" applyAlignment="1" applyProtection="1">
      <alignment horizontal="center" vertical="center"/>
    </xf>
    <xf numFmtId="0" fontId="143" fillId="0" borderId="45" xfId="30" applyFont="1" applyFill="1" applyBorder="1" applyAlignment="1" applyProtection="1">
      <alignment horizontal="center" vertical="center"/>
    </xf>
    <xf numFmtId="0" fontId="143" fillId="0" borderId="10" xfId="30" applyFont="1" applyFill="1" applyBorder="1" applyAlignment="1" applyProtection="1">
      <alignment horizontal="center" vertical="center"/>
    </xf>
    <xf numFmtId="0" fontId="143" fillId="0" borderId="10" xfId="30" applyFont="1" applyFill="1" applyBorder="1" applyAlignment="1" applyProtection="1">
      <alignment horizontal="center" vertical="center" wrapText="1"/>
    </xf>
    <xf numFmtId="0" fontId="143" fillId="0" borderId="145" xfId="238" applyFont="1" applyFill="1" applyBorder="1" applyAlignment="1" applyProtection="1">
      <alignment horizontal="center" wrapText="1"/>
    </xf>
    <xf numFmtId="0" fontId="126" fillId="0" borderId="0" xfId="231" applyFont="1" applyFill="1" applyBorder="1" applyAlignment="1">
      <alignment horizontal="left"/>
    </xf>
    <xf numFmtId="0" fontId="126" fillId="0" borderId="0" xfId="231" applyFont="1" applyFill="1" applyAlignment="1">
      <alignment horizontal="left"/>
    </xf>
    <xf numFmtId="0" fontId="126" fillId="0" borderId="0" xfId="231" applyFont="1" applyFill="1" applyBorder="1" applyAlignment="1">
      <alignment horizontal="left" wrapText="1"/>
    </xf>
    <xf numFmtId="0" fontId="126" fillId="0" borderId="14" xfId="231" applyFont="1" applyFill="1" applyBorder="1" applyAlignment="1">
      <alignment horizontal="left"/>
    </xf>
    <xf numFmtId="0" fontId="126" fillId="0" borderId="100" xfId="231" applyFont="1" applyFill="1" applyBorder="1" applyAlignment="1">
      <alignment horizontal="center" vertical="center"/>
    </xf>
    <xf numFmtId="0" fontId="126" fillId="0" borderId="33" xfId="231" applyFont="1" applyFill="1" applyBorder="1" applyAlignment="1">
      <alignment horizontal="center" vertical="center"/>
    </xf>
    <xf numFmtId="0" fontId="126" fillId="0" borderId="45" xfId="231" applyFont="1" applyFill="1" applyBorder="1" applyAlignment="1">
      <alignment horizontal="center" vertical="center" wrapText="1"/>
    </xf>
    <xf numFmtId="0" fontId="126" fillId="0" borderId="10" xfId="231" applyFont="1" applyFill="1" applyBorder="1" applyAlignment="1">
      <alignment horizontal="center" vertical="center" wrapText="1"/>
    </xf>
    <xf numFmtId="0" fontId="126" fillId="0" borderId="10" xfId="231" applyFont="1" applyFill="1" applyBorder="1" applyAlignment="1">
      <alignment horizontal="center" vertical="center"/>
    </xf>
    <xf numFmtId="0" fontId="126" fillId="0" borderId="45" xfId="231" applyFont="1" applyFill="1" applyBorder="1" applyAlignment="1">
      <alignment horizontal="center" vertical="center"/>
    </xf>
    <xf numFmtId="0" fontId="126" fillId="0" borderId="23" xfId="231" applyFont="1" applyFill="1" applyBorder="1" applyAlignment="1">
      <alignment horizontal="center" vertical="center"/>
    </xf>
    <xf numFmtId="0" fontId="126" fillId="0" borderId="16" xfId="231" applyFont="1" applyFill="1" applyBorder="1" applyAlignment="1">
      <alignment horizontal="center" vertical="center"/>
    </xf>
    <xf numFmtId="0" fontId="133" fillId="0" borderId="100" xfId="231" applyFont="1" applyFill="1" applyBorder="1" applyAlignment="1">
      <alignment horizontal="left"/>
    </xf>
    <xf numFmtId="0" fontId="133" fillId="0" borderId="33" xfId="231" applyFont="1" applyFill="1" applyBorder="1" applyAlignment="1">
      <alignment horizontal="left"/>
    </xf>
    <xf numFmtId="0" fontId="133" fillId="0" borderId="32" xfId="231" applyFont="1" applyFill="1" applyBorder="1" applyAlignment="1">
      <alignment horizontal="left" wrapText="1"/>
    </xf>
    <xf numFmtId="0" fontId="133" fillId="0" borderId="33" xfId="231" applyFont="1" applyFill="1" applyBorder="1" applyAlignment="1">
      <alignment horizontal="left" wrapText="1"/>
    </xf>
    <xf numFmtId="0" fontId="126" fillId="0" borderId="102" xfId="231" applyFont="1" applyFill="1" applyBorder="1" applyAlignment="1">
      <alignment horizontal="left"/>
    </xf>
    <xf numFmtId="0" fontId="126" fillId="0" borderId="103" xfId="231" applyFont="1" applyFill="1" applyBorder="1" applyAlignment="1">
      <alignment horizontal="left"/>
    </xf>
    <xf numFmtId="0" fontId="126" fillId="0" borderId="150" xfId="231" applyFont="1" applyFill="1" applyBorder="1" applyAlignment="1">
      <alignment horizontal="left" wrapText="1"/>
    </xf>
    <xf numFmtId="0" fontId="182" fillId="0" borderId="103" xfId="231" applyFont="1" applyFill="1" applyBorder="1" applyAlignment="1">
      <alignment horizontal="left" wrapText="1"/>
    </xf>
    <xf numFmtId="0" fontId="126" fillId="0" borderId="103" xfId="231" applyFont="1" applyFill="1" applyBorder="1" applyAlignment="1">
      <alignment horizontal="left" wrapText="1"/>
    </xf>
    <xf numFmtId="0" fontId="133" fillId="0" borderId="102" xfId="231" applyFont="1" applyFill="1" applyBorder="1" applyAlignment="1">
      <alignment horizontal="left"/>
    </xf>
    <xf numFmtId="0" fontId="183" fillId="0" borderId="150" xfId="231" applyFont="1" applyFill="1" applyBorder="1" applyAlignment="1">
      <alignment horizontal="left" vertical="center" wrapText="1"/>
    </xf>
    <xf numFmtId="0" fontId="133" fillId="0" borderId="150" xfId="231" applyFont="1" applyFill="1" applyBorder="1" applyAlignment="1">
      <alignment horizontal="left" wrapText="1"/>
    </xf>
    <xf numFmtId="0" fontId="133" fillId="0" borderId="103" xfId="231" applyFont="1" applyFill="1" applyBorder="1" applyAlignment="1">
      <alignment horizontal="left" wrapText="1"/>
    </xf>
    <xf numFmtId="0" fontId="146" fillId="0" borderId="150" xfId="231" applyFont="1" applyFill="1" applyBorder="1" applyAlignment="1">
      <alignment horizontal="left" wrapText="1"/>
    </xf>
    <xf numFmtId="0" fontId="133" fillId="0" borderId="103" xfId="231" applyFont="1" applyFill="1" applyBorder="1" applyAlignment="1">
      <alignment horizontal="left"/>
    </xf>
    <xf numFmtId="0" fontId="126" fillId="0" borderId="103" xfId="231" applyFont="1" applyFill="1" applyBorder="1" applyAlignment="1">
      <alignment horizontal="left" vertical="center" wrapText="1"/>
    </xf>
    <xf numFmtId="0" fontId="126" fillId="0" borderId="150" xfId="231" applyFont="1" applyFill="1" applyBorder="1" applyAlignment="1">
      <alignment horizontal="left" vertical="center" wrapText="1"/>
    </xf>
    <xf numFmtId="0" fontId="146" fillId="0" borderId="103" xfId="231" applyFont="1" applyFill="1" applyBorder="1" applyAlignment="1">
      <alignment horizontal="left"/>
    </xf>
    <xf numFmtId="0" fontId="133" fillId="0" borderId="103" xfId="231" applyFont="1" applyFill="1" applyBorder="1" applyAlignment="1">
      <alignment horizontal="left" vertical="center" wrapText="1"/>
    </xf>
    <xf numFmtId="0" fontId="133" fillId="0" borderId="108" xfId="231" applyFont="1" applyFill="1" applyBorder="1" applyAlignment="1">
      <alignment horizontal="left"/>
    </xf>
    <xf numFmtId="0" fontId="133" fillId="0" borderId="31" xfId="231" applyFont="1" applyFill="1" applyBorder="1" applyAlignment="1">
      <alignment horizontal="left"/>
    </xf>
    <xf numFmtId="0" fontId="133" fillId="0" borderId="109" xfId="231" applyFont="1" applyFill="1" applyBorder="1" applyAlignment="1">
      <alignment horizontal="left" wrapText="1"/>
    </xf>
    <xf numFmtId="0" fontId="133" fillId="0" borderId="30" xfId="231" applyFont="1" applyFill="1" applyBorder="1" applyAlignment="1">
      <alignment horizontal="left" wrapText="1"/>
    </xf>
    <xf numFmtId="49" fontId="133" fillId="0" borderId="109" xfId="231" applyNumberFormat="1" applyFont="1" applyFill="1" applyBorder="1" applyAlignment="1">
      <alignment horizontal="left"/>
    </xf>
    <xf numFmtId="0" fontId="133" fillId="0" borderId="171" xfId="231" applyFont="1" applyFill="1" applyBorder="1" applyAlignment="1">
      <alignment horizontal="left" wrapText="1"/>
    </xf>
    <xf numFmtId="0" fontId="126" fillId="0" borderId="150" xfId="231" applyFont="1" applyFill="1" applyBorder="1" applyAlignment="1">
      <alignment horizontal="left"/>
    </xf>
    <xf numFmtId="0" fontId="133" fillId="0" borderId="150" xfId="231" applyFont="1" applyFill="1" applyBorder="1" applyAlignment="1">
      <alignment horizontal="left"/>
    </xf>
    <xf numFmtId="0" fontId="133" fillId="0" borderId="10" xfId="231" applyFont="1" applyFill="1" applyBorder="1" applyAlignment="1">
      <alignment horizontal="left"/>
    </xf>
    <xf numFmtId="0" fontId="133" fillId="0" borderId="22" xfId="231" applyFont="1" applyFill="1" applyBorder="1" applyAlignment="1">
      <alignment horizontal="left"/>
    </xf>
    <xf numFmtId="0" fontId="133" fillId="0" borderId="112" xfId="231" applyFont="1" applyFill="1" applyBorder="1" applyAlignment="1">
      <alignment horizontal="left"/>
    </xf>
    <xf numFmtId="0" fontId="133" fillId="0" borderId="155" xfId="231" applyFont="1" applyFill="1" applyBorder="1" applyAlignment="1">
      <alignment horizontal="left"/>
    </xf>
    <xf numFmtId="0" fontId="11" fillId="0" borderId="155" xfId="231" applyFont="1" applyFill="1" applyBorder="1" applyAlignment="1">
      <alignment horizontal="left"/>
    </xf>
    <xf numFmtId="0" fontId="11" fillId="0" borderId="154" xfId="231" applyFont="1" applyFill="1" applyBorder="1" applyAlignment="1">
      <alignment horizontal="left"/>
    </xf>
    <xf numFmtId="0" fontId="133" fillId="0" borderId="113" xfId="231" applyFont="1" applyFill="1" applyBorder="1" applyAlignment="1">
      <alignment horizontal="left"/>
    </xf>
    <xf numFmtId="0" fontId="133" fillId="0" borderId="105" xfId="231" applyFont="1" applyFill="1" applyBorder="1" applyAlignment="1">
      <alignment horizontal="left"/>
    </xf>
    <xf numFmtId="0" fontId="133" fillId="0" borderId="106" xfId="231" applyFont="1" applyFill="1" applyBorder="1" applyAlignment="1">
      <alignment horizontal="left"/>
    </xf>
    <xf numFmtId="0" fontId="133" fillId="0" borderId="31" xfId="231" applyFont="1" applyFill="1" applyBorder="1" applyAlignment="1">
      <alignment horizontal="left" wrapText="1"/>
    </xf>
    <xf numFmtId="0" fontId="133" fillId="0" borderId="109" xfId="231" applyFont="1" applyFill="1" applyBorder="1" applyAlignment="1">
      <alignment horizontal="left"/>
    </xf>
    <xf numFmtId="0" fontId="126" fillId="0" borderId="108" xfId="231" applyFont="1" applyFill="1" applyBorder="1" applyAlignment="1">
      <alignment horizontal="left"/>
    </xf>
    <xf numFmtId="0" fontId="133" fillId="0" borderId="28" xfId="231" applyFont="1" applyFill="1" applyBorder="1" applyAlignment="1">
      <alignment horizontal="left"/>
    </xf>
    <xf numFmtId="0" fontId="133" fillId="0" borderId="30" xfId="231" applyFont="1" applyFill="1" applyBorder="1" applyAlignment="1">
      <alignment horizontal="left"/>
    </xf>
    <xf numFmtId="0" fontId="133" fillId="0" borderId="0" xfId="231" applyFont="1" applyFill="1" applyBorder="1" applyAlignment="1">
      <alignment horizontal="left"/>
    </xf>
    <xf numFmtId="0" fontId="133" fillId="0" borderId="45" xfId="231" applyFont="1" applyFill="1" applyBorder="1" applyAlignment="1">
      <alignment horizontal="left"/>
    </xf>
    <xf numFmtId="0" fontId="183" fillId="0" borderId="102" xfId="231" applyFont="1" applyFill="1" applyBorder="1" applyAlignment="1">
      <alignment horizontal="left"/>
    </xf>
    <xf numFmtId="0" fontId="183" fillId="0" borderId="103" xfId="231" applyFont="1" applyFill="1" applyBorder="1" applyAlignment="1">
      <alignment horizontal="left"/>
    </xf>
    <xf numFmtId="0" fontId="182" fillId="0" borderId="103" xfId="231" applyFont="1" applyFill="1" applyBorder="1" applyAlignment="1">
      <alignment horizontal="left"/>
    </xf>
    <xf numFmtId="0" fontId="126" fillId="0" borderId="10" xfId="231" applyFont="1" applyFill="1" applyBorder="1" applyAlignment="1">
      <alignment horizontal="left"/>
    </xf>
    <xf numFmtId="0" fontId="126" fillId="0" borderId="109" xfId="231" applyFont="1" applyFill="1" applyBorder="1" applyAlignment="1">
      <alignment horizontal="left"/>
    </xf>
    <xf numFmtId="0" fontId="183" fillId="0" borderId="23" xfId="231" applyFont="1" applyFill="1" applyBorder="1" applyAlignment="1">
      <alignment horizontal="left"/>
    </xf>
    <xf numFmtId="0" fontId="133" fillId="0" borderId="16" xfId="231" applyFont="1" applyFill="1" applyBorder="1" applyAlignment="1">
      <alignment horizontal="left"/>
    </xf>
    <xf numFmtId="0" fontId="133" fillId="0" borderId="24" xfId="231" applyFont="1" applyFill="1" applyBorder="1" applyAlignment="1">
      <alignment horizontal="left"/>
    </xf>
    <xf numFmtId="0" fontId="133" fillId="0" borderId="14" xfId="231" applyFont="1" applyFill="1" applyBorder="1" applyAlignment="1">
      <alignment horizontal="left"/>
    </xf>
    <xf numFmtId="0" fontId="126" fillId="0" borderId="171" xfId="231" applyFont="1" applyFill="1" applyBorder="1" applyAlignment="1">
      <alignment horizontal="left"/>
    </xf>
    <xf numFmtId="0" fontId="126" fillId="0" borderId="37" xfId="231" applyFont="1" applyFill="1" applyBorder="1" applyAlignment="1">
      <alignment horizontal="left"/>
    </xf>
    <xf numFmtId="0" fontId="126" fillId="0" borderId="36" xfId="231" applyFont="1" applyFill="1" applyBorder="1" applyAlignment="1">
      <alignment horizontal="left"/>
    </xf>
    <xf numFmtId="0" fontId="126" fillId="0" borderId="137" xfId="231" applyFont="1" applyFill="1" applyBorder="1" applyAlignment="1">
      <alignment horizontal="left"/>
    </xf>
    <xf numFmtId="0" fontId="126" fillId="0" borderId="184" xfId="231" applyFont="1" applyFill="1" applyBorder="1" applyAlignment="1">
      <alignment horizontal="left"/>
    </xf>
    <xf numFmtId="0" fontId="126" fillId="0" borderId="184" xfId="232" applyFont="1" applyFill="1" applyBorder="1" applyAlignment="1">
      <alignment horizontal="left"/>
    </xf>
    <xf numFmtId="0" fontId="126" fillId="0" borderId="173" xfId="231" applyFont="1" applyFill="1" applyBorder="1" applyAlignment="1">
      <alignment horizontal="left"/>
    </xf>
    <xf numFmtId="0" fontId="126" fillId="0" borderId="173" xfId="232" applyFont="1" applyFill="1" applyBorder="1" applyAlignment="1">
      <alignment horizontal="left"/>
    </xf>
    <xf numFmtId="0" fontId="126" fillId="0" borderId="103" xfId="232" applyFont="1" applyFill="1" applyBorder="1" applyAlignment="1">
      <alignment horizontal="left"/>
    </xf>
    <xf numFmtId="0" fontId="133" fillId="0" borderId="116" xfId="231" applyFont="1" applyFill="1" applyBorder="1" applyAlignment="1">
      <alignment horizontal="left"/>
    </xf>
    <xf numFmtId="0" fontId="133" fillId="0" borderId="158" xfId="231" applyFont="1" applyFill="1" applyBorder="1" applyAlignment="1">
      <alignment horizontal="left"/>
    </xf>
    <xf numFmtId="0" fontId="126" fillId="0" borderId="187" xfId="231" applyFont="1" applyFill="1" applyBorder="1" applyAlignment="1">
      <alignment horizontal="left"/>
    </xf>
    <xf numFmtId="0" fontId="11" fillId="0" borderId="116" xfId="231" applyFont="1" applyFill="1" applyBorder="1" applyAlignment="1">
      <alignment horizontal="left"/>
    </xf>
    <xf numFmtId="0" fontId="11" fillId="0" borderId="158" xfId="231" applyFont="1" applyFill="1" applyBorder="1" applyAlignment="1">
      <alignment horizontal="left"/>
    </xf>
    <xf numFmtId="0" fontId="11" fillId="0" borderId="103" xfId="231" applyFont="1" applyFill="1" applyBorder="1" applyAlignment="1">
      <alignment horizontal="left"/>
    </xf>
    <xf numFmtId="0" fontId="11" fillId="0" borderId="187" xfId="231" applyFont="1" applyFill="1" applyBorder="1" applyAlignment="1">
      <alignment horizontal="left"/>
    </xf>
    <xf numFmtId="0" fontId="126" fillId="0" borderId="105" xfId="231" applyFont="1" applyFill="1" applyBorder="1" applyAlignment="1">
      <alignment horizontal="left"/>
    </xf>
    <xf numFmtId="0" fontId="126" fillId="0" borderId="188" xfId="231" applyFont="1" applyFill="1" applyBorder="1" applyAlignment="1">
      <alignment horizontal="left"/>
    </xf>
    <xf numFmtId="0" fontId="126" fillId="0" borderId="24" xfId="231" applyFont="1" applyFill="1" applyBorder="1" applyAlignment="1">
      <alignment horizontal="left"/>
    </xf>
    <xf numFmtId="0" fontId="126" fillId="0" borderId="164" xfId="231" applyFont="1" applyFill="1" applyBorder="1" applyAlignment="1">
      <alignment horizontal="left"/>
    </xf>
    <xf numFmtId="0" fontId="129" fillId="0" borderId="11" xfId="231" applyFont="1" applyFill="1" applyBorder="1" applyAlignment="1">
      <alignment horizontal="center" wrapText="1"/>
    </xf>
    <xf numFmtId="0" fontId="146" fillId="0" borderId="101" xfId="231" applyFont="1" applyFill="1" applyBorder="1" applyAlignment="1">
      <alignment horizontal="centerContinuous" vertical="center"/>
    </xf>
    <xf numFmtId="0" fontId="146" fillId="0" borderId="38" xfId="231" applyFont="1" applyFill="1" applyBorder="1" applyAlignment="1">
      <alignment horizontal="centerContinuous"/>
    </xf>
    <xf numFmtId="0" fontId="7" fillId="0" borderId="108" xfId="231" applyFont="1" applyFill="1" applyBorder="1" applyAlignment="1">
      <alignment wrapText="1"/>
    </xf>
    <xf numFmtId="0" fontId="7" fillId="0" borderId="108" xfId="231" applyFont="1" applyFill="1" applyBorder="1" applyAlignment="1">
      <alignment horizontal="left" wrapText="1"/>
    </xf>
    <xf numFmtId="0" fontId="7" fillId="0" borderId="108" xfId="231" applyFont="1" applyFill="1" applyBorder="1" applyAlignment="1">
      <alignment horizontal="left"/>
    </xf>
    <xf numFmtId="0" fontId="133" fillId="0" borderId="189" xfId="231" applyFont="1" applyFill="1" applyBorder="1" applyAlignment="1">
      <alignment horizontal="left"/>
    </xf>
    <xf numFmtId="0" fontId="146" fillId="0" borderId="108" xfId="231" applyFont="1" applyFill="1" applyBorder="1" applyAlignment="1">
      <alignment horizontal="left"/>
    </xf>
    <xf numFmtId="0" fontId="23" fillId="0" borderId="0" xfId="29" applyFont="1" applyFill="1" applyAlignment="1">
      <alignment vertical="center"/>
    </xf>
    <xf numFmtId="0" fontId="23" fillId="0" borderId="0" xfId="91" applyFont="1" applyFill="1" applyAlignment="1">
      <alignment horizontal="right" vertical="center"/>
    </xf>
    <xf numFmtId="0" fontId="160" fillId="0" borderId="14" xfId="29" applyFont="1" applyFill="1" applyBorder="1" applyAlignment="1">
      <alignment horizontal="center" vertical="center" wrapText="1"/>
    </xf>
    <xf numFmtId="0" fontId="157" fillId="0" borderId="132" xfId="91" applyFont="1" applyFill="1" applyBorder="1" applyAlignment="1">
      <alignment horizontal="center" vertical="center" wrapText="1"/>
    </xf>
    <xf numFmtId="0" fontId="157" fillId="0" borderId="132" xfId="91" applyFont="1" applyFill="1" applyBorder="1" applyAlignment="1">
      <alignment horizontal="center" vertical="center"/>
    </xf>
    <xf numFmtId="0" fontId="157" fillId="0" borderId="143" xfId="91" applyFont="1" applyFill="1" applyBorder="1" applyAlignment="1">
      <alignment horizontal="center" vertical="center"/>
    </xf>
    <xf numFmtId="0" fontId="157" fillId="0" borderId="23" xfId="91" applyFont="1" applyFill="1" applyBorder="1" applyAlignment="1">
      <alignment horizontal="center" vertical="center"/>
    </xf>
    <xf numFmtId="0" fontId="157" fillId="0" borderId="16" xfId="91" applyFont="1" applyFill="1" applyBorder="1" applyAlignment="1">
      <alignment horizontal="center" vertical="center"/>
    </xf>
    <xf numFmtId="0" fontId="157" fillId="0" borderId="24" xfId="91" applyFont="1" applyFill="1" applyBorder="1" applyAlignment="1">
      <alignment horizontal="center" vertical="center" wrapText="1"/>
    </xf>
    <xf numFmtId="0" fontId="157" fillId="0" borderId="144" xfId="91" applyFont="1" applyFill="1" applyBorder="1" applyAlignment="1">
      <alignment horizontal="center" vertical="center" wrapText="1"/>
    </xf>
    <xf numFmtId="0" fontId="157" fillId="0" borderId="24" xfId="91" applyFont="1" applyFill="1" applyBorder="1" applyAlignment="1">
      <alignment horizontal="center" vertical="center"/>
    </xf>
    <xf numFmtId="0" fontId="187" fillId="0" borderId="24" xfId="91" applyFont="1" applyFill="1" applyBorder="1" applyAlignment="1">
      <alignment horizontal="center" vertical="center" wrapText="1"/>
    </xf>
    <xf numFmtId="0" fontId="15" fillId="0" borderId="0" xfId="91" applyFont="1" applyAlignment="1">
      <alignment vertical="center"/>
    </xf>
    <xf numFmtId="0" fontId="15" fillId="0" borderId="0" xfId="29" applyFont="1" applyAlignment="1">
      <alignment vertical="center"/>
    </xf>
    <xf numFmtId="4" fontId="15" fillId="0" borderId="0" xfId="91" applyNumberFormat="1" applyFont="1" applyAlignment="1">
      <alignment vertical="center"/>
    </xf>
    <xf numFmtId="0" fontId="160" fillId="0" borderId="24" xfId="82" applyFont="1" applyFill="1" applyBorder="1" applyAlignment="1">
      <alignment horizontal="center" vertical="center"/>
    </xf>
    <xf numFmtId="0" fontId="23" fillId="0" borderId="0" xfId="29" applyFont="1" applyFill="1" applyBorder="1" applyAlignment="1">
      <alignment horizontal="center" vertical="center" wrapText="1"/>
    </xf>
    <xf numFmtId="0" fontId="23" fillId="0" borderId="0" xfId="91" applyFont="1" applyFill="1" applyBorder="1" applyAlignment="1">
      <alignment horizontal="center" vertical="center" wrapText="1"/>
    </xf>
    <xf numFmtId="0" fontId="23" fillId="0" borderId="0" xfId="91" applyFont="1" applyFill="1" applyBorder="1" applyAlignment="1">
      <alignment horizontal="center" vertical="center"/>
    </xf>
    <xf numFmtId="0" fontId="188" fillId="0" borderId="0" xfId="91" applyFont="1" applyFill="1" applyBorder="1" applyAlignment="1">
      <alignment horizontal="center" vertical="center" wrapText="1"/>
    </xf>
    <xf numFmtId="4" fontId="23" fillId="0" borderId="0" xfId="91" applyNumberFormat="1" applyFont="1" applyFill="1" applyBorder="1" applyAlignment="1">
      <alignment horizontal="center" vertical="center" wrapText="1"/>
    </xf>
    <xf numFmtId="0" fontId="23" fillId="0" borderId="0" xfId="29" applyFont="1" applyBorder="1" applyAlignment="1">
      <alignment vertical="center"/>
    </xf>
    <xf numFmtId="0" fontId="185" fillId="0" borderId="0" xfId="29" applyFont="1" applyFill="1" applyAlignment="1"/>
    <xf numFmtId="0" fontId="157" fillId="0" borderId="0" xfId="29" applyFont="1" applyFill="1" applyAlignment="1"/>
    <xf numFmtId="3" fontId="157" fillId="0" borderId="0" xfId="29" applyNumberFormat="1" applyFont="1" applyFill="1" applyAlignment="1"/>
    <xf numFmtId="3" fontId="157" fillId="0" borderId="0" xfId="91" applyNumberFormat="1" applyFont="1" applyFill="1" applyBorder="1" applyAlignment="1">
      <alignment vertical="center"/>
    </xf>
    <xf numFmtId="3" fontId="190" fillId="0" borderId="0" xfId="29" applyNumberFormat="1" applyFont="1" applyFill="1" applyAlignment="1"/>
    <xf numFmtId="4" fontId="185" fillId="0" borderId="0" xfId="29" applyNumberFormat="1" applyFont="1" applyFill="1" applyAlignment="1"/>
    <xf numFmtId="0" fontId="23" fillId="0" borderId="0" xfId="29" applyFont="1" applyFill="1" applyBorder="1" applyAlignment="1">
      <alignment vertical="center"/>
    </xf>
    <xf numFmtId="0" fontId="192" fillId="0" borderId="0" xfId="29" applyFont="1" applyFill="1" applyAlignment="1"/>
    <xf numFmtId="0" fontId="191" fillId="0" borderId="0" xfId="29" applyFont="1" applyFill="1" applyAlignment="1"/>
    <xf numFmtId="0" fontId="189" fillId="0" borderId="0" xfId="29" applyFont="1" applyFill="1" applyAlignment="1"/>
    <xf numFmtId="0" fontId="157" fillId="0" borderId="0" xfId="240" applyFont="1" applyFill="1" applyBorder="1" applyProtection="1"/>
    <xf numFmtId="0" fontId="158" fillId="0" borderId="0" xfId="240" applyFont="1" applyFill="1" applyBorder="1" applyProtection="1"/>
    <xf numFmtId="0" fontId="157" fillId="0" borderId="0" xfId="242" applyFont="1" applyFill="1"/>
    <xf numFmtId="0" fontId="157" fillId="0" borderId="0" xfId="29" applyFont="1"/>
    <xf numFmtId="0" fontId="157" fillId="0" borderId="0" xfId="242" applyFont="1" applyFill="1" applyAlignment="1">
      <alignment horizontal="left"/>
    </xf>
    <xf numFmtId="49" fontId="23" fillId="0" borderId="0" xfId="30" applyNumberFormat="1" applyFont="1" applyFill="1" applyBorder="1" applyAlignment="1">
      <alignment horizontal="left" vertical="center"/>
    </xf>
    <xf numFmtId="0" fontId="23" fillId="0" borderId="0" xfId="29" applyFont="1" applyBorder="1" applyAlignment="1">
      <alignment horizontal="center" vertical="center"/>
    </xf>
    <xf numFmtId="3" fontId="23" fillId="0" borderId="0" xfId="91" applyNumberFormat="1" applyFont="1" applyBorder="1" applyAlignment="1">
      <alignment vertical="center"/>
    </xf>
    <xf numFmtId="3" fontId="23" fillId="0" borderId="0" xfId="91" applyNumberFormat="1" applyFont="1" applyFill="1" applyBorder="1" applyAlignment="1">
      <alignment vertical="center"/>
    </xf>
    <xf numFmtId="0" fontId="23" fillId="0" borderId="0" xfId="91" applyFont="1" applyFill="1" applyBorder="1" applyAlignment="1">
      <alignment vertical="center"/>
    </xf>
    <xf numFmtId="0" fontId="184" fillId="0" borderId="0" xfId="242" applyFont="1" applyFill="1"/>
    <xf numFmtId="0" fontId="184" fillId="0" borderId="0" xfId="29" applyFont="1"/>
    <xf numFmtId="3" fontId="184" fillId="0" borderId="0" xfId="91" applyNumberFormat="1" applyFont="1" applyFill="1" applyBorder="1" applyAlignment="1">
      <alignment vertical="center"/>
    </xf>
    <xf numFmtId="0" fontId="184" fillId="0" borderId="0" xfId="91" applyFont="1" applyAlignment="1">
      <alignment vertical="center"/>
    </xf>
    <xf numFmtId="0" fontId="184" fillId="0" borderId="0" xfId="29" applyFont="1" applyBorder="1" applyAlignment="1">
      <alignment vertical="center"/>
    </xf>
    <xf numFmtId="0" fontId="184" fillId="0" borderId="0" xfId="242" applyFont="1" applyFill="1" applyAlignment="1"/>
    <xf numFmtId="0" fontId="160" fillId="0" borderId="0" xfId="29" applyFont="1" applyFill="1" applyAlignment="1">
      <alignment vertical="center"/>
    </xf>
    <xf numFmtId="0" fontId="195" fillId="0" borderId="0" xfId="91" applyFont="1" applyAlignment="1">
      <alignment vertical="center"/>
    </xf>
    <xf numFmtId="0" fontId="195" fillId="0" borderId="0" xfId="29" applyFont="1" applyAlignment="1">
      <alignment vertical="center"/>
    </xf>
    <xf numFmtId="3" fontId="157" fillId="0" borderId="100" xfId="82" applyNumberFormat="1" applyFont="1" applyFill="1" applyBorder="1" applyAlignment="1">
      <alignment horizontal="right" vertical="center"/>
    </xf>
    <xf numFmtId="171" fontId="157" fillId="0" borderId="100" xfId="82" applyNumberFormat="1" applyFont="1" applyFill="1" applyBorder="1" applyAlignment="1">
      <alignment horizontal="right" vertical="center"/>
    </xf>
    <xf numFmtId="171" fontId="157" fillId="0" borderId="32" xfId="82" applyNumberFormat="1" applyFont="1" applyFill="1" applyBorder="1" applyAlignment="1">
      <alignment horizontal="right" vertical="center"/>
    </xf>
    <xf numFmtId="171" fontId="157" fillId="0" borderId="146" xfId="82" applyNumberFormat="1" applyFont="1" applyFill="1" applyBorder="1" applyAlignment="1">
      <alignment horizontal="right" vertical="center"/>
    </xf>
    <xf numFmtId="3" fontId="157" fillId="0" borderId="32" xfId="82" applyNumberFormat="1" applyFont="1" applyFill="1" applyBorder="1" applyAlignment="1">
      <alignment horizontal="right" vertical="center"/>
    </xf>
    <xf numFmtId="3" fontId="157" fillId="0" borderId="146" xfId="82" applyNumberFormat="1" applyFont="1" applyFill="1" applyBorder="1" applyAlignment="1">
      <alignment horizontal="right" vertical="center"/>
    </xf>
    <xf numFmtId="3" fontId="157" fillId="0" borderId="45" xfId="82" applyNumberFormat="1" applyFont="1" applyFill="1" applyBorder="1" applyAlignment="1">
      <alignment horizontal="right" vertical="center"/>
    </xf>
    <xf numFmtId="171" fontId="157" fillId="0" borderId="45" xfId="82" applyNumberFormat="1" applyFont="1" applyFill="1" applyBorder="1" applyAlignment="1">
      <alignment horizontal="right" vertical="center"/>
    </xf>
    <xf numFmtId="171" fontId="157" fillId="0" borderId="22" xfId="82" applyNumberFormat="1" applyFont="1" applyFill="1" applyBorder="1" applyAlignment="1">
      <alignment horizontal="right" vertical="center"/>
    </xf>
    <xf numFmtId="171" fontId="157" fillId="0" borderId="145" xfId="82" applyNumberFormat="1" applyFont="1" applyFill="1" applyBorder="1" applyAlignment="1">
      <alignment horizontal="right" vertical="center"/>
    </xf>
    <xf numFmtId="3" fontId="157" fillId="0" borderId="22" xfId="82" applyNumberFormat="1" applyFont="1" applyFill="1" applyBorder="1" applyAlignment="1">
      <alignment horizontal="right" vertical="center"/>
    </xf>
    <xf numFmtId="3" fontId="157" fillId="0" borderId="145" xfId="82" applyNumberFormat="1" applyFont="1" applyFill="1" applyBorder="1" applyAlignment="1">
      <alignment horizontal="right" vertical="center"/>
    </xf>
    <xf numFmtId="3" fontId="157" fillId="0" borderId="138" xfId="82" applyNumberFormat="1" applyFont="1" applyFill="1" applyBorder="1" applyAlignment="1">
      <alignment horizontal="right" vertical="center"/>
    </xf>
    <xf numFmtId="171" fontId="157" fillId="0" borderId="138" xfId="82" applyNumberFormat="1" applyFont="1" applyFill="1" applyBorder="1" applyAlignment="1">
      <alignment horizontal="right" vertical="center"/>
    </xf>
    <xf numFmtId="171" fontId="157" fillId="0" borderId="21" xfId="82" applyNumberFormat="1" applyFont="1" applyFill="1" applyBorder="1" applyAlignment="1">
      <alignment horizontal="right" vertical="center"/>
    </xf>
    <xf numFmtId="171" fontId="157" fillId="0" borderId="140" xfId="82" applyNumberFormat="1" applyFont="1" applyFill="1" applyBorder="1" applyAlignment="1">
      <alignment horizontal="right" vertical="center"/>
    </xf>
    <xf numFmtId="3" fontId="157" fillId="0" borderId="21" xfId="82" applyNumberFormat="1" applyFont="1" applyFill="1" applyBorder="1" applyAlignment="1">
      <alignment horizontal="right" vertical="center"/>
    </xf>
    <xf numFmtId="3" fontId="157" fillId="0" borderId="140" xfId="82" applyNumberFormat="1" applyFont="1" applyFill="1" applyBorder="1" applyAlignment="1">
      <alignment horizontal="right" vertical="center"/>
    </xf>
    <xf numFmtId="3" fontId="158" fillId="0" borderId="23" xfId="82" applyNumberFormat="1" applyFont="1" applyFill="1" applyBorder="1" applyAlignment="1">
      <alignment horizontal="right" vertical="center"/>
    </xf>
    <xf numFmtId="171" fontId="158" fillId="0" borderId="23" xfId="82" applyNumberFormat="1" applyFont="1" applyFill="1" applyBorder="1" applyAlignment="1">
      <alignment horizontal="right" vertical="center"/>
    </xf>
    <xf numFmtId="171" fontId="158" fillId="0" borderId="24" xfId="82" applyNumberFormat="1" applyFont="1" applyFill="1" applyBorder="1" applyAlignment="1">
      <alignment horizontal="right" vertical="center"/>
    </xf>
    <xf numFmtId="171" fontId="158" fillId="0" borderId="144" xfId="82" applyNumberFormat="1" applyFont="1" applyFill="1" applyBorder="1" applyAlignment="1">
      <alignment horizontal="right" vertical="center"/>
    </xf>
    <xf numFmtId="3" fontId="158" fillId="0" borderId="24" xfId="82" applyNumberFormat="1" applyFont="1" applyFill="1" applyBorder="1" applyAlignment="1">
      <alignment horizontal="right" vertical="center"/>
    </xf>
    <xf numFmtId="3" fontId="158" fillId="0" borderId="144" xfId="82" applyNumberFormat="1" applyFont="1" applyFill="1" applyBorder="1" applyAlignment="1">
      <alignment horizontal="right" vertical="center"/>
    </xf>
    <xf numFmtId="3" fontId="160" fillId="0" borderId="23" xfId="82" applyNumberFormat="1" applyFont="1" applyFill="1" applyBorder="1" applyAlignment="1">
      <alignment horizontal="right" vertical="center"/>
    </xf>
    <xf numFmtId="0" fontId="157" fillId="0" borderId="32" xfId="82" applyFont="1" applyFill="1" applyBorder="1" applyAlignment="1">
      <alignment horizontal="center" vertical="center" wrapText="1"/>
    </xf>
    <xf numFmtId="0" fontId="157" fillId="0" borderId="22" xfId="82" applyFont="1" applyFill="1" applyBorder="1" applyAlignment="1">
      <alignment horizontal="center" vertical="center"/>
    </xf>
    <xf numFmtId="0" fontId="157" fillId="0" borderId="191" xfId="82" applyFont="1" applyFill="1" applyBorder="1" applyAlignment="1">
      <alignment horizontal="center" vertical="center"/>
    </xf>
    <xf numFmtId="0" fontId="157" fillId="0" borderId="22" xfId="82" applyFont="1" applyFill="1" applyBorder="1" applyAlignment="1">
      <alignment horizontal="center" vertical="center" wrapText="1"/>
    </xf>
    <xf numFmtId="0" fontId="158" fillId="0" borderId="21" xfId="82" applyFont="1" applyFill="1" applyBorder="1" applyAlignment="1">
      <alignment horizontal="center" vertical="center"/>
    </xf>
    <xf numFmtId="0" fontId="158" fillId="0" borderId="22" xfId="82" applyFont="1" applyFill="1" applyBorder="1" applyAlignment="1">
      <alignment horizontal="center" vertical="center"/>
    </xf>
    <xf numFmtId="0" fontId="158" fillId="0" borderId="24" xfId="82" applyFont="1" applyFill="1" applyBorder="1" applyAlignment="1">
      <alignment horizontal="center" vertical="center"/>
    </xf>
    <xf numFmtId="0" fontId="23" fillId="0" borderId="0" xfId="91" applyFont="1" applyFill="1" applyAlignment="1">
      <alignment horizontal="right" vertical="center"/>
    </xf>
    <xf numFmtId="0" fontId="184" fillId="0" borderId="32" xfId="82" applyFont="1" applyFill="1" applyBorder="1" applyAlignment="1">
      <alignment horizontal="center" vertical="center" wrapText="1"/>
    </xf>
    <xf numFmtId="3" fontId="198" fillId="0" borderId="100" xfId="82" applyNumberFormat="1" applyFont="1" applyFill="1" applyBorder="1" applyAlignment="1">
      <alignment horizontal="right" vertical="center"/>
    </xf>
    <xf numFmtId="171" fontId="198" fillId="0" borderId="100" xfId="82" applyNumberFormat="1" applyFont="1" applyFill="1" applyBorder="1" applyAlignment="1">
      <alignment horizontal="right" vertical="center"/>
    </xf>
    <xf numFmtId="171" fontId="198" fillId="0" borderId="32" xfId="82" applyNumberFormat="1" applyFont="1" applyFill="1" applyBorder="1" applyAlignment="1">
      <alignment horizontal="right" vertical="center"/>
    </xf>
    <xf numFmtId="171" fontId="198" fillId="0" borderId="146" xfId="82" applyNumberFormat="1" applyFont="1" applyFill="1" applyBorder="1" applyAlignment="1">
      <alignment horizontal="right" vertical="center"/>
    </xf>
    <xf numFmtId="4" fontId="198" fillId="0" borderId="100" xfId="82" applyNumberFormat="1" applyFont="1" applyFill="1" applyBorder="1" applyAlignment="1">
      <alignment horizontal="right" vertical="center"/>
    </xf>
    <xf numFmtId="4" fontId="198" fillId="0" borderId="32" xfId="82" applyNumberFormat="1" applyFont="1" applyFill="1" applyBorder="1" applyAlignment="1">
      <alignment horizontal="right" vertical="center"/>
    </xf>
    <xf numFmtId="4" fontId="198" fillId="0" borderId="146" xfId="82" applyNumberFormat="1" applyFont="1" applyFill="1" applyBorder="1" applyAlignment="1">
      <alignment horizontal="right" vertical="center"/>
    </xf>
    <xf numFmtId="0" fontId="184" fillId="0" borderId="22" xfId="82" applyFont="1" applyFill="1" applyBorder="1" applyAlignment="1">
      <alignment horizontal="center" vertical="center"/>
    </xf>
    <xf numFmtId="3" fontId="198" fillId="0" borderId="45" xfId="82" applyNumberFormat="1" applyFont="1" applyFill="1" applyBorder="1" applyAlignment="1">
      <alignment horizontal="right" vertical="center"/>
    </xf>
    <xf numFmtId="171" fontId="198" fillId="0" borderId="45" xfId="82" applyNumberFormat="1" applyFont="1" applyFill="1" applyBorder="1" applyAlignment="1">
      <alignment horizontal="right" vertical="center"/>
    </xf>
    <xf numFmtId="171" fontId="198" fillId="0" borderId="22" xfId="82" applyNumberFormat="1" applyFont="1" applyFill="1" applyBorder="1" applyAlignment="1">
      <alignment horizontal="right" vertical="center"/>
    </xf>
    <xf numFmtId="171" fontId="198" fillId="0" borderId="145" xfId="82" applyNumberFormat="1" applyFont="1" applyFill="1" applyBorder="1" applyAlignment="1">
      <alignment horizontal="right" vertical="center"/>
    </xf>
    <xf numFmtId="4" fontId="198" fillId="0" borderId="45" xfId="82" applyNumberFormat="1" applyFont="1" applyFill="1" applyBorder="1" applyAlignment="1">
      <alignment horizontal="right" vertical="center"/>
    </xf>
    <xf numFmtId="4" fontId="198" fillId="0" borderId="22" xfId="82" applyNumberFormat="1" applyFont="1" applyFill="1" applyBorder="1" applyAlignment="1">
      <alignment horizontal="right" vertical="center"/>
    </xf>
    <xf numFmtId="4" fontId="198" fillId="0" borderId="145" xfId="82" applyNumberFormat="1" applyFont="1" applyFill="1" applyBorder="1" applyAlignment="1">
      <alignment horizontal="right" vertical="center"/>
    </xf>
    <xf numFmtId="0" fontId="184" fillId="0" borderId="24" xfId="82" applyFont="1" applyFill="1" applyBorder="1" applyAlignment="1">
      <alignment horizontal="center" vertical="center"/>
    </xf>
    <xf numFmtId="3" fontId="198" fillId="0" borderId="23" xfId="82" applyNumberFormat="1" applyFont="1" applyFill="1" applyBorder="1" applyAlignment="1">
      <alignment horizontal="right" vertical="center"/>
    </xf>
    <xf numFmtId="171" fontId="198" fillId="0" borderId="23" xfId="82" applyNumberFormat="1" applyFont="1" applyFill="1" applyBorder="1" applyAlignment="1">
      <alignment horizontal="right" vertical="center"/>
    </xf>
    <xf numFmtId="171" fontId="198" fillId="0" borderId="24" xfId="82" applyNumberFormat="1" applyFont="1" applyFill="1" applyBorder="1" applyAlignment="1">
      <alignment horizontal="right" vertical="center"/>
    </xf>
    <xf numFmtId="171" fontId="198" fillId="0" borderId="144" xfId="82" applyNumberFormat="1" applyFont="1" applyFill="1" applyBorder="1" applyAlignment="1">
      <alignment horizontal="right" vertical="center"/>
    </xf>
    <xf numFmtId="4" fontId="198" fillId="0" borderId="23" xfId="82" applyNumberFormat="1" applyFont="1" applyFill="1" applyBorder="1" applyAlignment="1">
      <alignment horizontal="right" vertical="center"/>
    </xf>
    <xf numFmtId="4" fontId="198" fillId="0" borderId="24" xfId="82" applyNumberFormat="1" applyFont="1" applyFill="1" applyBorder="1" applyAlignment="1">
      <alignment horizontal="right" vertical="center"/>
    </xf>
    <xf numFmtId="4" fontId="198" fillId="0" borderId="144" xfId="82" applyNumberFormat="1" applyFont="1" applyFill="1" applyBorder="1" applyAlignment="1">
      <alignment horizontal="right" vertical="center"/>
    </xf>
    <xf numFmtId="0" fontId="160" fillId="0" borderId="22" xfId="82" applyFont="1" applyFill="1" applyBorder="1" applyAlignment="1">
      <alignment horizontal="center" vertical="center"/>
    </xf>
    <xf numFmtId="0" fontId="143" fillId="0" borderId="22" xfId="82" applyFont="1" applyFill="1" applyBorder="1" applyAlignment="1">
      <alignment horizontal="center" vertical="center"/>
    </xf>
    <xf numFmtId="0" fontId="143" fillId="0" borderId="24" xfId="82" applyFont="1" applyFill="1" applyBorder="1" applyAlignment="1">
      <alignment horizontal="center" vertical="center"/>
    </xf>
    <xf numFmtId="3" fontId="199" fillId="0" borderId="23" xfId="82" applyNumberFormat="1" applyFont="1" applyFill="1" applyBorder="1" applyAlignment="1">
      <alignment horizontal="right" vertical="center"/>
    </xf>
    <xf numFmtId="171" fontId="143" fillId="0" borderId="23" xfId="82" applyNumberFormat="1" applyFont="1" applyFill="1" applyBorder="1" applyAlignment="1">
      <alignment horizontal="right" vertical="center"/>
    </xf>
    <xf numFmtId="171" fontId="143" fillId="0" borderId="24" xfId="82" applyNumberFormat="1" applyFont="1" applyFill="1" applyBorder="1" applyAlignment="1">
      <alignment horizontal="right" vertical="center"/>
    </xf>
    <xf numFmtId="171" fontId="143" fillId="0" borderId="144" xfId="82" applyNumberFormat="1" applyFont="1" applyFill="1" applyBorder="1" applyAlignment="1">
      <alignment horizontal="right" vertical="center"/>
    </xf>
    <xf numFmtId="4" fontId="143" fillId="0" borderId="23" xfId="82" applyNumberFormat="1" applyFont="1" applyFill="1" applyBorder="1" applyAlignment="1">
      <alignment horizontal="right" vertical="center"/>
    </xf>
    <xf numFmtId="4" fontId="143" fillId="0" borderId="24" xfId="82" applyNumberFormat="1" applyFont="1" applyFill="1" applyBorder="1" applyAlignment="1">
      <alignment horizontal="right" vertical="center"/>
    </xf>
    <xf numFmtId="4" fontId="143" fillId="0" borderId="144" xfId="82" applyNumberFormat="1" applyFont="1" applyFill="1" applyBorder="1" applyAlignment="1">
      <alignment horizontal="right" vertical="center"/>
    </xf>
    <xf numFmtId="0" fontId="157" fillId="0" borderId="0" xfId="243" applyFont="1" applyFill="1"/>
    <xf numFmtId="0" fontId="157" fillId="0" borderId="0" xfId="243" applyFont="1" applyFill="1" applyAlignment="1">
      <alignment horizontal="left"/>
    </xf>
    <xf numFmtId="0" fontId="198" fillId="0" borderId="32" xfId="82" applyFont="1" applyFill="1" applyBorder="1" applyAlignment="1">
      <alignment horizontal="center" vertical="center" wrapText="1"/>
    </xf>
    <xf numFmtId="3" fontId="198" fillId="0" borderId="32" xfId="82" applyNumberFormat="1" applyFont="1" applyFill="1" applyBorder="1" applyAlignment="1">
      <alignment horizontal="right" vertical="center"/>
    </xf>
    <xf numFmtId="3" fontId="198" fillId="0" borderId="146" xfId="82" applyNumberFormat="1" applyFont="1" applyFill="1" applyBorder="1" applyAlignment="1">
      <alignment horizontal="right" vertical="center"/>
    </xf>
    <xf numFmtId="0" fontId="198" fillId="0" borderId="22" xfId="82" applyFont="1" applyFill="1" applyBorder="1" applyAlignment="1">
      <alignment horizontal="center" vertical="center"/>
    </xf>
    <xf numFmtId="3" fontId="198" fillId="0" borderId="22" xfId="82" applyNumberFormat="1" applyFont="1" applyFill="1" applyBorder="1" applyAlignment="1">
      <alignment horizontal="right" vertical="center"/>
    </xf>
    <xf numFmtId="3" fontId="198" fillId="0" borderId="145" xfId="82" applyNumberFormat="1" applyFont="1" applyFill="1" applyBorder="1" applyAlignment="1">
      <alignment horizontal="right" vertical="center"/>
    </xf>
    <xf numFmtId="0" fontId="184" fillId="0" borderId="191" xfId="82" applyFont="1" applyFill="1" applyBorder="1" applyAlignment="1">
      <alignment horizontal="center" vertical="center"/>
    </xf>
    <xf numFmtId="0" fontId="198" fillId="0" borderId="191" xfId="82" applyFont="1" applyFill="1" applyBorder="1" applyAlignment="1">
      <alignment horizontal="center" vertical="center"/>
    </xf>
    <xf numFmtId="0" fontId="184" fillId="0" borderId="22" xfId="82" applyFont="1" applyFill="1" applyBorder="1" applyAlignment="1">
      <alignment horizontal="center" vertical="center" wrapText="1"/>
    </xf>
    <xf numFmtId="0" fontId="160" fillId="0" borderId="21" xfId="82" applyFont="1" applyFill="1" applyBorder="1" applyAlignment="1">
      <alignment horizontal="center" vertical="center"/>
    </xf>
    <xf numFmtId="0" fontId="143" fillId="0" borderId="21" xfId="82" applyFont="1" applyFill="1" applyBorder="1" applyAlignment="1">
      <alignment horizontal="center" vertical="center"/>
    </xf>
    <xf numFmtId="3" fontId="198" fillId="0" borderId="138" xfId="82" applyNumberFormat="1" applyFont="1" applyFill="1" applyBorder="1" applyAlignment="1">
      <alignment horizontal="right" vertical="center"/>
    </xf>
    <xf numFmtId="171" fontId="198" fillId="0" borderId="138" xfId="82" applyNumberFormat="1" applyFont="1" applyFill="1" applyBorder="1" applyAlignment="1">
      <alignment horizontal="right" vertical="center"/>
    </xf>
    <xf numFmtId="171" fontId="198" fillId="0" borderId="21" xfId="82" applyNumberFormat="1" applyFont="1" applyFill="1" applyBorder="1" applyAlignment="1">
      <alignment horizontal="right" vertical="center"/>
    </xf>
    <xf numFmtId="171" fontId="198" fillId="0" borderId="140" xfId="82" applyNumberFormat="1" applyFont="1" applyFill="1" applyBorder="1" applyAlignment="1">
      <alignment horizontal="right" vertical="center"/>
    </xf>
    <xf numFmtId="4" fontId="198" fillId="0" borderId="138" xfId="82" applyNumberFormat="1" applyFont="1" applyFill="1" applyBorder="1" applyAlignment="1">
      <alignment horizontal="right" vertical="center"/>
    </xf>
    <xf numFmtId="4" fontId="198" fillId="0" borderId="21" xfId="82" applyNumberFormat="1" applyFont="1" applyFill="1" applyBorder="1" applyAlignment="1">
      <alignment horizontal="right" vertical="center"/>
    </xf>
    <xf numFmtId="4" fontId="198" fillId="0" borderId="140" xfId="82" applyNumberFormat="1" applyFont="1" applyFill="1" applyBorder="1" applyAlignment="1">
      <alignment horizontal="right" vertical="center"/>
    </xf>
    <xf numFmtId="3" fontId="198" fillId="0" borderId="118" xfId="82" applyNumberFormat="1" applyFont="1" applyFill="1" applyBorder="1" applyAlignment="1">
      <alignment horizontal="right" vertical="center"/>
    </xf>
    <xf numFmtId="3" fontId="198" fillId="0" borderId="119" xfId="82" applyNumberFormat="1" applyFont="1" applyFill="1" applyBorder="1" applyAlignment="1">
      <alignment horizontal="right" vertical="center"/>
    </xf>
    <xf numFmtId="3" fontId="198" fillId="0" borderId="127" xfId="82" applyNumberFormat="1" applyFont="1" applyFill="1" applyBorder="1" applyAlignment="1">
      <alignment horizontal="right" vertical="center"/>
    </xf>
    <xf numFmtId="3" fontId="198" fillId="0" borderId="120" xfId="82" applyNumberFormat="1" applyFont="1" applyFill="1" applyBorder="1" applyAlignment="1">
      <alignment horizontal="right" vertical="center"/>
    </xf>
    <xf numFmtId="0" fontId="157" fillId="0" borderId="0" xfId="29" applyFont="1" applyFill="1" applyAlignment="1">
      <alignment vertical="center"/>
    </xf>
    <xf numFmtId="0" fontId="15" fillId="0" borderId="0" xfId="91" applyFont="1" applyFill="1" applyAlignment="1">
      <alignment vertical="center"/>
    </xf>
    <xf numFmtId="0" fontId="15" fillId="0" borderId="0" xfId="29" applyFont="1" applyFill="1" applyAlignment="1">
      <alignment vertical="center"/>
    </xf>
    <xf numFmtId="4" fontId="15" fillId="0" borderId="0" xfId="91" applyNumberFormat="1" applyFont="1" applyFill="1" applyAlignment="1">
      <alignment vertical="center"/>
    </xf>
    <xf numFmtId="0" fontId="184" fillId="0" borderId="0" xfId="29" applyFont="1" applyFill="1" applyAlignment="1">
      <alignment vertical="center"/>
    </xf>
    <xf numFmtId="0" fontId="184" fillId="0" borderId="0" xfId="243" applyFont="1" applyFill="1"/>
    <xf numFmtId="0" fontId="184" fillId="0" borderId="0" xfId="243" applyFont="1" applyFill="1" applyAlignment="1"/>
    <xf numFmtId="0" fontId="157" fillId="0" borderId="0" xfId="91" applyFont="1" applyFill="1" applyAlignment="1">
      <alignment horizontal="right" vertical="center"/>
    </xf>
    <xf numFmtId="0" fontId="157" fillId="0" borderId="0" xfId="91" applyFont="1" applyAlignment="1">
      <alignment vertical="center"/>
    </xf>
    <xf numFmtId="0" fontId="157" fillId="0" borderId="0" xfId="29" applyFont="1" applyAlignment="1">
      <alignment vertical="center"/>
    </xf>
    <xf numFmtId="0" fontId="193" fillId="0" borderId="0" xfId="29" applyFont="1" applyFill="1" applyAlignment="1">
      <alignment vertical="center"/>
    </xf>
    <xf numFmtId="0" fontId="73" fillId="0" borderId="193" xfId="0" applyFont="1" applyFill="1" applyBorder="1" applyAlignment="1">
      <alignment vertical="center"/>
    </xf>
    <xf numFmtId="0" fontId="73" fillId="0" borderId="194" xfId="0" applyFont="1" applyBorder="1" applyAlignment="1">
      <alignment vertical="center"/>
    </xf>
    <xf numFmtId="0" fontId="73" fillId="0" borderId="195" xfId="0" applyFont="1" applyBorder="1" applyAlignment="1">
      <alignment horizontal="center" vertical="center"/>
    </xf>
    <xf numFmtId="0" fontId="73" fillId="0" borderId="196" xfId="0" applyFont="1" applyFill="1" applyBorder="1" applyAlignment="1">
      <alignment vertical="center"/>
    </xf>
    <xf numFmtId="0" fontId="73" fillId="0" borderId="197" xfId="0" applyFont="1" applyBorder="1" applyAlignment="1">
      <alignment horizontal="center" vertical="center"/>
    </xf>
    <xf numFmtId="0" fontId="73" fillId="0" borderId="198" xfId="0" applyFont="1" applyFill="1" applyBorder="1" applyAlignment="1">
      <alignment vertical="center"/>
    </xf>
    <xf numFmtId="0" fontId="73" fillId="0" borderId="199" xfId="0" applyFont="1" applyBorder="1" applyAlignment="1">
      <alignment horizontal="center" vertical="center"/>
    </xf>
    <xf numFmtId="0" fontId="73" fillId="0" borderId="200" xfId="0" applyFont="1" applyFill="1" applyBorder="1" applyAlignment="1">
      <alignment vertical="center"/>
    </xf>
    <xf numFmtId="0" fontId="73" fillId="0" borderId="201" xfId="0" applyFont="1" applyBorder="1" applyAlignment="1">
      <alignment horizontal="center" vertical="center"/>
    </xf>
    <xf numFmtId="0" fontId="73" fillId="0" borderId="202" xfId="0" applyFont="1" applyFill="1" applyBorder="1" applyAlignment="1">
      <alignment vertical="center"/>
    </xf>
    <xf numFmtId="0" fontId="73" fillId="0" borderId="203" xfId="0" applyFont="1" applyBorder="1" applyAlignment="1">
      <alignment horizontal="center" vertical="center"/>
    </xf>
    <xf numFmtId="0" fontId="73" fillId="0" borderId="204" xfId="0" applyFont="1" applyBorder="1" applyAlignment="1">
      <alignment vertical="center"/>
    </xf>
    <xf numFmtId="0" fontId="73" fillId="0" borderId="203" xfId="0" applyFont="1" applyBorder="1" applyAlignment="1">
      <alignment horizontal="center" vertical="center" wrapText="1"/>
    </xf>
    <xf numFmtId="0" fontId="0" fillId="0" borderId="205" xfId="0" applyBorder="1"/>
    <xf numFmtId="0" fontId="73" fillId="0" borderId="206" xfId="0" applyFont="1" applyFill="1" applyBorder="1" applyAlignment="1">
      <alignment vertical="center" wrapText="1"/>
    </xf>
    <xf numFmtId="0" fontId="73" fillId="0" borderId="207" xfId="0" applyFont="1" applyBorder="1" applyAlignment="1">
      <alignment horizontal="center" vertical="center"/>
    </xf>
    <xf numFmtId="0" fontId="113" fillId="0" borderId="0" xfId="0" applyFont="1" applyAlignment="1">
      <alignment horizontal="center"/>
    </xf>
    <xf numFmtId="0" fontId="182" fillId="0" borderId="171" xfId="231" applyFont="1" applyFill="1" applyBorder="1" applyAlignment="1">
      <alignment horizontal="left" wrapText="1"/>
    </xf>
    <xf numFmtId="0" fontId="0" fillId="0" borderId="30" xfId="0" applyBorder="1" applyAlignment="1">
      <alignment horizontal="left" wrapText="1"/>
    </xf>
    <xf numFmtId="0" fontId="0" fillId="0" borderId="29" xfId="0" applyBorder="1" applyAlignment="1">
      <alignment horizontal="left" wrapText="1"/>
    </xf>
    <xf numFmtId="14" fontId="126" fillId="0" borderId="0" xfId="231" applyNumberFormat="1" applyFont="1" applyFill="1" applyAlignment="1">
      <alignment horizontal="right"/>
    </xf>
    <xf numFmtId="0" fontId="125" fillId="0" borderId="0" xfId="231" applyAlignment="1"/>
    <xf numFmtId="0" fontId="116" fillId="0" borderId="0" xfId="231" applyFont="1" applyFill="1" applyAlignment="1">
      <alignment horizontal="center" wrapText="1"/>
    </xf>
    <xf numFmtId="0" fontId="133" fillId="0" borderId="28" xfId="231" applyFont="1" applyFill="1" applyBorder="1" applyAlignment="1">
      <alignment horizontal="left" wrapText="1"/>
    </xf>
    <xf numFmtId="0" fontId="133" fillId="0" borderId="30" xfId="231" applyFont="1" applyFill="1" applyBorder="1" applyAlignment="1">
      <alignment horizontal="left" wrapText="1"/>
    </xf>
    <xf numFmtId="0" fontId="133" fillId="0" borderId="29" xfId="231" applyFont="1" applyFill="1" applyBorder="1" applyAlignment="1">
      <alignment horizontal="left" wrapText="1"/>
    </xf>
    <xf numFmtId="0" fontId="126" fillId="0" borderId="22" xfId="231" applyFont="1" applyFill="1" applyBorder="1" applyAlignment="1">
      <alignment horizontal="center" wrapText="1"/>
    </xf>
    <xf numFmtId="0" fontId="126" fillId="0" borderId="41" xfId="231" applyFont="1" applyFill="1" applyBorder="1" applyAlignment="1">
      <alignment horizontal="center" wrapText="1"/>
    </xf>
    <xf numFmtId="0" fontId="10" fillId="0" borderId="0" xfId="0" applyFont="1" applyAlignment="1">
      <alignment horizontal="right"/>
    </xf>
    <xf numFmtId="49" fontId="13" fillId="0" borderId="0" xfId="230" applyNumberFormat="1" applyFont="1" applyFill="1" applyAlignment="1">
      <alignment horizontal="left" wrapText="1"/>
    </xf>
    <xf numFmtId="49" fontId="10" fillId="0" borderId="96" xfId="230" applyNumberFormat="1" applyFont="1" applyFill="1" applyBorder="1" applyAlignment="1">
      <alignment horizontal="center" vertical="center" wrapText="1"/>
    </xf>
    <xf numFmtId="49" fontId="10" fillId="0" borderId="97" xfId="230" applyNumberFormat="1" applyFont="1" applyFill="1" applyBorder="1" applyAlignment="1">
      <alignment horizontal="center" vertical="center" wrapText="1"/>
    </xf>
    <xf numFmtId="49" fontId="10" fillId="0" borderId="83" xfId="230" applyNumberFormat="1" applyFont="1" applyFill="1" applyBorder="1" applyAlignment="1">
      <alignment horizontal="center" vertical="center" wrapText="1"/>
    </xf>
    <xf numFmtId="49" fontId="10" fillId="0" borderId="89" xfId="230" applyNumberFormat="1" applyFont="1" applyFill="1" applyBorder="1" applyAlignment="1">
      <alignment horizontal="center" vertical="center" wrapText="1"/>
    </xf>
    <xf numFmtId="49" fontId="10" fillId="0" borderId="98" xfId="230" applyNumberFormat="1" applyFont="1" applyFill="1" applyBorder="1" applyAlignment="1">
      <alignment horizontal="center" vertical="center" wrapText="1"/>
    </xf>
    <xf numFmtId="49" fontId="10" fillId="0" borderId="99" xfId="230" applyNumberFormat="1" applyFont="1" applyFill="1" applyBorder="1" applyAlignment="1">
      <alignment horizontal="center" vertical="center" wrapText="1"/>
    </xf>
    <xf numFmtId="0" fontId="177" fillId="0" borderId="18" xfId="30" applyFont="1" applyFill="1" applyBorder="1" applyAlignment="1" applyProtection="1">
      <alignment horizontal="center" vertical="center" wrapText="1"/>
    </xf>
    <xf numFmtId="0" fontId="177" fillId="0" borderId="12" xfId="30" applyFont="1" applyFill="1" applyBorder="1" applyAlignment="1" applyProtection="1">
      <alignment horizontal="center" vertical="center" wrapText="1"/>
    </xf>
    <xf numFmtId="0" fontId="177" fillId="0" borderId="13" xfId="30" applyFont="1" applyFill="1" applyBorder="1" applyAlignment="1" applyProtection="1">
      <alignment horizontal="center" vertical="center" wrapText="1"/>
    </xf>
    <xf numFmtId="0" fontId="177" fillId="0" borderId="43" xfId="30" applyFont="1" applyFill="1" applyBorder="1" applyAlignment="1" applyProtection="1">
      <alignment horizontal="center" vertical="center" wrapText="1"/>
    </xf>
    <xf numFmtId="0" fontId="177" fillId="0" borderId="0" xfId="30" applyFont="1" applyFill="1" applyBorder="1" applyAlignment="1" applyProtection="1">
      <alignment horizontal="center" vertical="center" wrapText="1"/>
    </xf>
    <xf numFmtId="0" fontId="177" fillId="0" borderId="11" xfId="30" applyFont="1" applyFill="1" applyBorder="1" applyAlignment="1" applyProtection="1">
      <alignment horizontal="center" vertical="center" wrapText="1"/>
    </xf>
    <xf numFmtId="0" fontId="177" fillId="0" borderId="44" xfId="30" applyFont="1" applyFill="1" applyBorder="1" applyAlignment="1" applyProtection="1">
      <alignment horizontal="center" vertical="center" wrapText="1"/>
    </xf>
    <xf numFmtId="0" fontId="177" fillId="0" borderId="14" xfId="30" applyFont="1" applyFill="1" applyBorder="1" applyAlignment="1" applyProtection="1">
      <alignment horizontal="center" vertical="center" wrapText="1"/>
    </xf>
    <xf numFmtId="0" fontId="177" fillId="0" borderId="15" xfId="30" applyFont="1" applyFill="1" applyBorder="1" applyAlignment="1" applyProtection="1">
      <alignment horizontal="center" vertical="center" wrapText="1"/>
    </xf>
    <xf numFmtId="0" fontId="177" fillId="58" borderId="18" xfId="0" applyFont="1" applyFill="1" applyBorder="1" applyAlignment="1" applyProtection="1">
      <alignment horizontal="center" vertical="center"/>
    </xf>
    <xf numFmtId="0" fontId="177" fillId="58" borderId="12" xfId="0" applyFont="1" applyFill="1" applyBorder="1" applyAlignment="1" applyProtection="1">
      <alignment horizontal="center" vertical="center"/>
    </xf>
    <xf numFmtId="0" fontId="177" fillId="58" borderId="13" xfId="0" applyFont="1" applyFill="1" applyBorder="1" applyAlignment="1" applyProtection="1">
      <alignment horizontal="center" vertical="center"/>
    </xf>
    <xf numFmtId="0" fontId="177" fillId="58" borderId="43" xfId="0" applyFont="1" applyFill="1" applyBorder="1" applyAlignment="1" applyProtection="1">
      <alignment horizontal="center" vertical="center"/>
    </xf>
    <xf numFmtId="0" fontId="177" fillId="58" borderId="0" xfId="0" applyFont="1" applyFill="1" applyBorder="1" applyAlignment="1" applyProtection="1">
      <alignment horizontal="center" vertical="center"/>
    </xf>
    <xf numFmtId="0" fontId="177" fillId="58" borderId="11" xfId="0" applyFont="1" applyFill="1" applyBorder="1" applyAlignment="1" applyProtection="1">
      <alignment horizontal="center" vertical="center"/>
    </xf>
    <xf numFmtId="0" fontId="177" fillId="58" borderId="44" xfId="0" applyFont="1" applyFill="1" applyBorder="1" applyAlignment="1" applyProtection="1">
      <alignment horizontal="center" vertical="center"/>
    </xf>
    <xf numFmtId="0" fontId="177" fillId="58" borderId="14" xfId="0" applyFont="1" applyFill="1" applyBorder="1" applyAlignment="1" applyProtection="1">
      <alignment horizontal="center" vertical="center"/>
    </xf>
    <xf numFmtId="0" fontId="177" fillId="58" borderId="15" xfId="0" applyFont="1" applyFill="1" applyBorder="1" applyAlignment="1" applyProtection="1">
      <alignment horizontal="center" vertical="center"/>
    </xf>
    <xf numFmtId="0" fontId="177" fillId="0" borderId="18" xfId="30" applyFont="1" applyFill="1" applyBorder="1" applyAlignment="1" applyProtection="1">
      <alignment horizontal="center" vertical="center"/>
    </xf>
    <xf numFmtId="0" fontId="177" fillId="0" borderId="12" xfId="30" applyFont="1" applyFill="1" applyBorder="1" applyAlignment="1" applyProtection="1">
      <alignment horizontal="center" vertical="center"/>
    </xf>
    <xf numFmtId="0" fontId="177" fillId="0" borderId="13" xfId="30" applyFont="1" applyFill="1" applyBorder="1" applyAlignment="1" applyProtection="1">
      <alignment horizontal="center" vertical="center"/>
    </xf>
    <xf numFmtId="0" fontId="177" fillId="0" borderId="43" xfId="30" applyFont="1" applyFill="1" applyBorder="1" applyAlignment="1" applyProtection="1">
      <alignment horizontal="center" vertical="center"/>
    </xf>
    <xf numFmtId="0" fontId="177" fillId="0" borderId="0" xfId="30" applyFont="1" applyFill="1" applyBorder="1" applyAlignment="1" applyProtection="1">
      <alignment horizontal="center" vertical="center"/>
    </xf>
    <xf numFmtId="0" fontId="177" fillId="0" borderId="11" xfId="30" applyFont="1" applyFill="1" applyBorder="1" applyAlignment="1" applyProtection="1">
      <alignment horizontal="center" vertical="center"/>
    </xf>
    <xf numFmtId="0" fontId="177" fillId="0" borderId="44" xfId="30" applyFont="1" applyFill="1" applyBorder="1" applyAlignment="1" applyProtection="1">
      <alignment horizontal="center" vertical="center"/>
    </xf>
    <xf numFmtId="0" fontId="177" fillId="0" borderId="14" xfId="30" applyFont="1" applyFill="1" applyBorder="1" applyAlignment="1" applyProtection="1">
      <alignment horizontal="center" vertical="center"/>
    </xf>
    <xf numFmtId="0" fontId="177" fillId="0" borderId="15" xfId="30" applyFont="1" applyFill="1" applyBorder="1" applyAlignment="1" applyProtection="1">
      <alignment horizontal="center" vertical="center"/>
    </xf>
    <xf numFmtId="49" fontId="165" fillId="0" borderId="14" xfId="30" applyNumberFormat="1" applyFont="1" applyFill="1" applyBorder="1" applyAlignment="1" applyProtection="1">
      <alignment horizontal="left" vertical="top" wrapText="1"/>
    </xf>
    <xf numFmtId="49" fontId="46" fillId="0" borderId="118" xfId="30" applyNumberFormat="1" applyFont="1" applyFill="1" applyBorder="1" applyAlignment="1" applyProtection="1">
      <alignment horizontal="center" wrapText="1"/>
    </xf>
    <xf numFmtId="49" fontId="46" fillId="0" borderId="119" xfId="30" applyNumberFormat="1" applyFont="1" applyFill="1" applyBorder="1" applyAlignment="1" applyProtection="1">
      <alignment horizontal="center" wrapText="1"/>
    </xf>
    <xf numFmtId="49" fontId="46" fillId="0" borderId="120" xfId="30" applyNumberFormat="1" applyFont="1" applyFill="1" applyBorder="1" applyAlignment="1" applyProtection="1">
      <alignment horizontal="center" wrapText="1"/>
    </xf>
    <xf numFmtId="0" fontId="166" fillId="58" borderId="18" xfId="0" applyFont="1" applyFill="1" applyBorder="1" applyAlignment="1" applyProtection="1">
      <alignment horizontal="center" vertical="center"/>
    </xf>
    <xf numFmtId="0" fontId="166" fillId="58" borderId="12" xfId="0" applyFont="1" applyFill="1" applyBorder="1" applyAlignment="1" applyProtection="1">
      <alignment horizontal="center" vertical="center"/>
    </xf>
    <xf numFmtId="0" fontId="166" fillId="58" borderId="13" xfId="0" applyFont="1" applyFill="1" applyBorder="1" applyAlignment="1" applyProtection="1">
      <alignment horizontal="center" vertical="center"/>
    </xf>
    <xf numFmtId="0" fontId="166" fillId="58" borderId="43" xfId="0" applyFont="1" applyFill="1" applyBorder="1" applyAlignment="1" applyProtection="1">
      <alignment horizontal="center" vertical="center"/>
    </xf>
    <xf numFmtId="0" fontId="166" fillId="58" borderId="0" xfId="0" applyFont="1" applyFill="1" applyBorder="1" applyAlignment="1" applyProtection="1">
      <alignment horizontal="center" vertical="center"/>
    </xf>
    <xf numFmtId="0" fontId="166" fillId="58" borderId="11" xfId="0" applyFont="1" applyFill="1" applyBorder="1" applyAlignment="1" applyProtection="1">
      <alignment horizontal="center" vertical="center"/>
    </xf>
    <xf numFmtId="0" fontId="166" fillId="58" borderId="44" xfId="0" applyFont="1" applyFill="1" applyBorder="1" applyAlignment="1" applyProtection="1">
      <alignment horizontal="center" vertical="center"/>
    </xf>
    <xf numFmtId="0" fontId="166" fillId="58" borderId="14" xfId="0" applyFont="1" applyFill="1" applyBorder="1" applyAlignment="1" applyProtection="1">
      <alignment horizontal="center" vertical="center"/>
    </xf>
    <xf numFmtId="0" fontId="166" fillId="58" borderId="15" xfId="0" applyFont="1" applyFill="1" applyBorder="1" applyAlignment="1" applyProtection="1">
      <alignment horizontal="center" vertical="center"/>
    </xf>
    <xf numFmtId="0" fontId="143" fillId="0" borderId="137" xfId="30" applyFont="1" applyFill="1" applyBorder="1" applyAlignment="1" applyProtection="1">
      <alignment horizontal="left" vertical="center" wrapText="1"/>
    </xf>
    <xf numFmtId="0" fontId="143" fillId="0" borderId="39" xfId="30" applyFont="1" applyFill="1" applyBorder="1" applyAlignment="1" applyProtection="1">
      <alignment horizontal="left" vertical="center" wrapText="1"/>
    </xf>
    <xf numFmtId="0" fontId="143" fillId="0" borderId="32" xfId="238" applyFont="1" applyFill="1" applyBorder="1" applyAlignment="1" applyProtection="1">
      <alignment horizontal="center" vertical="center" wrapText="1"/>
    </xf>
    <xf numFmtId="0" fontId="143" fillId="0" borderId="22" xfId="238" applyFont="1" applyFill="1" applyBorder="1" applyAlignment="1" applyProtection="1">
      <alignment horizontal="center" vertical="center" wrapText="1"/>
    </xf>
    <xf numFmtId="0" fontId="143" fillId="0" borderId="24" xfId="238" applyFont="1" applyFill="1" applyBorder="1" applyAlignment="1" applyProtection="1">
      <alignment horizontal="center" vertical="center" wrapText="1"/>
    </xf>
    <xf numFmtId="0" fontId="143" fillId="0" borderId="146" xfId="238" applyFont="1" applyFill="1" applyBorder="1" applyAlignment="1" applyProtection="1">
      <alignment horizontal="center" vertical="center" wrapText="1"/>
    </xf>
    <xf numFmtId="0" fontId="143" fillId="0" borderId="145" xfId="238" applyFont="1" applyFill="1" applyBorder="1" applyAlignment="1" applyProtection="1">
      <alignment horizontal="center" vertical="center" wrapText="1"/>
    </xf>
    <xf numFmtId="0" fontId="143" fillId="0" borderId="100" xfId="30" applyFont="1" applyFill="1" applyBorder="1" applyAlignment="1" applyProtection="1">
      <alignment horizontal="center" vertical="center" wrapText="1"/>
    </xf>
    <xf numFmtId="0" fontId="143" fillId="0" borderId="45" xfId="30" applyFont="1" applyFill="1" applyBorder="1" applyAlignment="1" applyProtection="1">
      <alignment horizontal="center" vertical="center" wrapText="1"/>
    </xf>
    <xf numFmtId="0" fontId="143" fillId="0" borderId="22" xfId="30" applyFont="1" applyFill="1" applyBorder="1" applyAlignment="1" applyProtection="1">
      <alignment horizontal="center" vertical="center" wrapText="1"/>
    </xf>
    <xf numFmtId="0" fontId="143" fillId="0" borderId="32" xfId="30" applyFont="1" applyFill="1" applyBorder="1" applyAlignment="1" applyProtection="1">
      <alignment horizontal="center" vertical="center" wrapText="1"/>
    </xf>
    <xf numFmtId="0" fontId="46" fillId="0" borderId="22" xfId="30" applyFont="1" applyFill="1" applyBorder="1" applyAlignment="1" applyProtection="1">
      <alignment horizontal="center" vertical="center" wrapText="1"/>
    </xf>
    <xf numFmtId="0" fontId="177" fillId="58" borderId="28" xfId="0" applyFont="1" applyFill="1" applyBorder="1" applyAlignment="1" applyProtection="1">
      <alignment horizontal="center" vertical="center"/>
    </xf>
    <xf numFmtId="0" fontId="177" fillId="58" borderId="30" xfId="0" applyFont="1" applyFill="1" applyBorder="1" applyAlignment="1" applyProtection="1">
      <alignment horizontal="center" vertical="center"/>
    </xf>
    <xf numFmtId="0" fontId="177" fillId="58" borderId="29" xfId="0" applyFont="1" applyFill="1" applyBorder="1" applyAlignment="1" applyProtection="1">
      <alignment horizontal="center" vertical="center"/>
    </xf>
    <xf numFmtId="0" fontId="177" fillId="58" borderId="28" xfId="0" applyFont="1" applyFill="1" applyBorder="1" applyAlignment="1" applyProtection="1">
      <alignment horizontal="center" vertical="center" wrapText="1"/>
    </xf>
    <xf numFmtId="0" fontId="177" fillId="58" borderId="30" xfId="0" applyFont="1" applyFill="1" applyBorder="1" applyAlignment="1" applyProtection="1">
      <alignment horizontal="center" vertical="center" wrapText="1"/>
    </xf>
    <xf numFmtId="0" fontId="177" fillId="58" borderId="29" xfId="0" applyFont="1" applyFill="1" applyBorder="1" applyAlignment="1" applyProtection="1">
      <alignment horizontal="center" vertical="center" wrapText="1"/>
    </xf>
    <xf numFmtId="0" fontId="177" fillId="0" borderId="118" xfId="30" applyFont="1" applyFill="1" applyBorder="1" applyAlignment="1" applyProtection="1">
      <alignment horizontal="center" vertical="center" wrapText="1"/>
    </xf>
    <xf numFmtId="0" fontId="177" fillId="0" borderId="119" xfId="30" applyFont="1" applyFill="1" applyBorder="1" applyAlignment="1" applyProtection="1">
      <alignment horizontal="center" vertical="center" wrapText="1"/>
    </xf>
    <xf numFmtId="0" fontId="177" fillId="58" borderId="18" xfId="0" applyFont="1" applyFill="1" applyBorder="1" applyAlignment="1" applyProtection="1">
      <alignment horizontal="center" vertical="center" wrapText="1"/>
    </xf>
    <xf numFmtId="0" fontId="181" fillId="58" borderId="12" xfId="0" applyFont="1" applyFill="1" applyBorder="1" applyProtection="1"/>
    <xf numFmtId="0" fontId="181" fillId="58" borderId="13" xfId="0" applyFont="1" applyFill="1" applyBorder="1" applyProtection="1"/>
    <xf numFmtId="0" fontId="181" fillId="58" borderId="44" xfId="0" applyFont="1" applyFill="1" applyBorder="1" applyProtection="1"/>
    <xf numFmtId="0" fontId="181" fillId="58" borderId="14" xfId="0" applyFont="1" applyFill="1" applyBorder="1" applyProtection="1"/>
    <xf numFmtId="0" fontId="181" fillId="58" borderId="15" xfId="0" applyFont="1" applyFill="1" applyBorder="1" applyProtection="1"/>
    <xf numFmtId="0" fontId="177" fillId="58" borderId="12" xfId="0" applyFont="1" applyFill="1" applyBorder="1" applyAlignment="1" applyProtection="1">
      <alignment horizontal="center" vertical="center" wrapText="1"/>
    </xf>
    <xf numFmtId="0" fontId="177" fillId="58" borderId="13" xfId="0" applyFont="1" applyFill="1" applyBorder="1" applyAlignment="1" applyProtection="1">
      <alignment horizontal="center" vertical="center" wrapText="1"/>
    </xf>
    <xf numFmtId="0" fontId="177" fillId="58" borderId="44" xfId="0" applyFont="1" applyFill="1" applyBorder="1" applyAlignment="1" applyProtection="1">
      <alignment horizontal="center" vertical="center" wrapText="1"/>
    </xf>
    <xf numFmtId="0" fontId="177" fillId="58" borderId="14" xfId="0" applyFont="1" applyFill="1" applyBorder="1" applyAlignment="1" applyProtection="1">
      <alignment horizontal="center" vertical="center" wrapText="1"/>
    </xf>
    <xf numFmtId="0" fontId="177" fillId="58" borderId="15" xfId="0" applyFont="1" applyFill="1" applyBorder="1" applyAlignment="1" applyProtection="1">
      <alignment horizontal="center" vertical="center" wrapText="1"/>
    </xf>
    <xf numFmtId="0" fontId="177" fillId="58" borderId="118" xfId="0" applyFont="1" applyFill="1" applyBorder="1" applyAlignment="1" applyProtection="1">
      <alignment horizontal="center" vertical="center" wrapText="1"/>
    </xf>
    <xf numFmtId="0" fontId="177" fillId="58" borderId="120" xfId="0" applyFont="1" applyFill="1" applyBorder="1" applyAlignment="1" applyProtection="1">
      <alignment horizontal="center" vertical="center" wrapText="1"/>
    </xf>
    <xf numFmtId="0" fontId="46" fillId="0" borderId="100" xfId="30" applyFont="1" applyFill="1" applyBorder="1" applyAlignment="1" applyProtection="1">
      <alignment horizontal="center" vertical="center" wrapText="1"/>
    </xf>
    <xf numFmtId="0" fontId="46" fillId="0" borderId="45" xfId="30" applyFont="1" applyFill="1" applyBorder="1" applyAlignment="1" applyProtection="1">
      <alignment horizontal="center" vertical="center" wrapText="1"/>
    </xf>
    <xf numFmtId="0" fontId="177" fillId="0" borderId="137" xfId="30" applyFont="1" applyFill="1" applyBorder="1" applyAlignment="1" applyProtection="1">
      <alignment horizontal="left" vertical="center" wrapText="1"/>
    </xf>
    <xf numFmtId="0" fontId="177" fillId="0" borderId="39" xfId="30" applyFont="1" applyFill="1" applyBorder="1" applyAlignment="1" applyProtection="1">
      <alignment horizontal="left" vertical="center" wrapText="1"/>
    </xf>
    <xf numFmtId="0" fontId="46" fillId="0" borderId="146" xfId="238" applyFont="1" applyFill="1" applyBorder="1" applyAlignment="1" applyProtection="1">
      <alignment horizontal="center" vertical="center" wrapText="1"/>
    </xf>
    <xf numFmtId="0" fontId="46" fillId="0" borderId="145" xfId="238" applyFont="1" applyFill="1" applyBorder="1" applyAlignment="1" applyProtection="1">
      <alignment horizontal="center" vertical="center" wrapText="1"/>
    </xf>
    <xf numFmtId="3" fontId="47" fillId="0" borderId="26" xfId="0" applyNumberFormat="1" applyFont="1" applyFill="1" applyBorder="1" applyAlignment="1" applyProtection="1">
      <alignment horizontal="center" vertical="center"/>
    </xf>
    <xf numFmtId="3" fontId="47" fillId="0" borderId="38" xfId="0" applyNumberFormat="1" applyFont="1" applyFill="1" applyBorder="1" applyAlignment="1" applyProtection="1">
      <alignment horizontal="center" vertical="center"/>
    </xf>
    <xf numFmtId="3" fontId="47" fillId="0" borderId="19" xfId="0" applyNumberFormat="1" applyFont="1" applyFill="1" applyBorder="1" applyAlignment="1" applyProtection="1">
      <alignment horizontal="center" vertical="center"/>
    </xf>
    <xf numFmtId="3" fontId="152" fillId="0" borderId="21" xfId="0" applyNumberFormat="1" applyFont="1" applyFill="1" applyBorder="1" applyAlignment="1" applyProtection="1">
      <alignment horizontal="center" vertical="center" wrapText="1"/>
    </xf>
    <xf numFmtId="3" fontId="152" fillId="0" borderId="22" xfId="0" applyNumberFormat="1" applyFont="1" applyFill="1" applyBorder="1" applyAlignment="1" applyProtection="1">
      <alignment horizontal="center" vertical="center" wrapText="1"/>
    </xf>
    <xf numFmtId="3" fontId="152" fillId="0" borderId="140" xfId="0" applyNumberFormat="1" applyFont="1" applyFill="1" applyBorder="1" applyAlignment="1" applyProtection="1">
      <alignment horizontal="center" vertical="center" wrapText="1"/>
    </xf>
    <xf numFmtId="3" fontId="152" fillId="0" borderId="145" xfId="0" applyNumberFormat="1" applyFont="1" applyFill="1" applyBorder="1" applyAlignment="1" applyProtection="1">
      <alignment horizontal="center" vertical="center" wrapText="1"/>
    </xf>
    <xf numFmtId="0" fontId="46" fillId="0" borderId="21" xfId="30" applyFont="1" applyFill="1" applyBorder="1" applyAlignment="1" applyProtection="1">
      <alignment horizontal="center" vertical="center" wrapText="1"/>
    </xf>
    <xf numFmtId="0" fontId="132" fillId="0" borderId="118" xfId="0" applyFont="1" applyFill="1" applyBorder="1" applyAlignment="1" applyProtection="1">
      <alignment horizontal="center" vertical="center" wrapText="1"/>
    </xf>
    <xf numFmtId="0" fontId="132" fillId="0" borderId="119" xfId="0" applyFont="1" applyFill="1" applyBorder="1" applyAlignment="1" applyProtection="1">
      <alignment horizontal="center" vertical="center" wrapText="1"/>
    </xf>
    <xf numFmtId="0" fontId="143" fillId="0" borderId="185" xfId="238" applyFont="1" applyFill="1" applyBorder="1" applyAlignment="1" applyProtection="1">
      <alignment horizontal="center" vertical="center" wrapText="1"/>
    </xf>
    <xf numFmtId="0" fontId="143" fillId="0" borderId="46" xfId="238" applyFont="1" applyFill="1" applyBorder="1" applyAlignment="1" applyProtection="1">
      <alignment horizontal="center" vertical="center" wrapText="1"/>
    </xf>
    <xf numFmtId="3" fontId="152" fillId="0" borderId="138" xfId="0" applyNumberFormat="1" applyFont="1" applyFill="1" applyBorder="1" applyAlignment="1" applyProtection="1">
      <alignment horizontal="center" vertical="center"/>
    </xf>
    <xf numFmtId="3" fontId="152" fillId="0" borderId="45" xfId="0" applyNumberFormat="1" applyFont="1" applyFill="1" applyBorder="1" applyAlignment="1" applyProtection="1">
      <alignment horizontal="center" vertical="center"/>
    </xf>
    <xf numFmtId="0" fontId="46" fillId="0" borderId="137" xfId="30" applyFont="1" applyFill="1" applyBorder="1" applyAlignment="1" applyProtection="1">
      <alignment horizontal="left" vertical="center" wrapText="1"/>
    </xf>
    <xf numFmtId="0" fontId="46" fillId="0" borderId="39" xfId="30" applyFont="1" applyFill="1" applyBorder="1" applyAlignment="1" applyProtection="1">
      <alignment horizontal="left" vertical="center" wrapText="1"/>
    </xf>
    <xf numFmtId="0" fontId="46" fillId="0" borderId="32" xfId="238" applyFont="1" applyFill="1" applyBorder="1" applyAlignment="1" applyProtection="1">
      <alignment horizontal="center" vertical="center" wrapText="1"/>
    </xf>
    <xf numFmtId="0" fontId="46" fillId="0" borderId="22" xfId="238" applyFont="1" applyFill="1" applyBorder="1" applyAlignment="1" applyProtection="1">
      <alignment horizontal="center" vertical="center" wrapText="1"/>
    </xf>
    <xf numFmtId="0" fontId="46" fillId="0" borderId="24" xfId="238" applyFont="1" applyFill="1" applyBorder="1" applyAlignment="1" applyProtection="1">
      <alignment horizontal="center" vertical="center" wrapText="1"/>
    </xf>
    <xf numFmtId="0" fontId="168" fillId="58" borderId="28" xfId="0" applyFont="1" applyFill="1" applyBorder="1" applyAlignment="1" applyProtection="1">
      <alignment horizontal="center" vertical="center" wrapText="1"/>
    </xf>
    <xf numFmtId="0" fontId="168" fillId="58" borderId="30" xfId="0" applyFont="1" applyFill="1" applyBorder="1" applyAlignment="1" applyProtection="1">
      <alignment horizontal="center" vertical="center" wrapText="1"/>
    </xf>
    <xf numFmtId="0" fontId="168" fillId="58" borderId="29" xfId="0" applyFont="1" applyFill="1" applyBorder="1" applyAlignment="1" applyProtection="1">
      <alignment horizontal="center" vertical="center" wrapText="1"/>
    </xf>
    <xf numFmtId="0" fontId="167" fillId="58" borderId="28" xfId="30" applyFont="1" applyFill="1" applyBorder="1" applyAlignment="1" applyProtection="1">
      <alignment horizontal="center" wrapText="1"/>
    </xf>
    <xf numFmtId="0" fontId="167" fillId="58" borderId="30" xfId="30" applyFont="1" applyFill="1" applyBorder="1" applyAlignment="1" applyProtection="1">
      <alignment horizontal="center" wrapText="1"/>
    </xf>
    <xf numFmtId="0" fontId="167" fillId="58" borderId="29" xfId="30" applyFont="1" applyFill="1" applyBorder="1" applyAlignment="1" applyProtection="1">
      <alignment horizontal="center" wrapText="1"/>
    </xf>
    <xf numFmtId="0" fontId="128" fillId="0" borderId="34" xfId="233" applyFont="1" applyFill="1" applyBorder="1" applyAlignment="1">
      <alignment horizontal="left" wrapText="1"/>
    </xf>
    <xf numFmtId="0" fontId="128" fillId="0" borderId="125" xfId="233" applyFont="1" applyFill="1" applyBorder="1" applyAlignment="1">
      <alignment horizontal="left" wrapText="1"/>
    </xf>
    <xf numFmtId="0" fontId="142" fillId="0" borderId="0" xfId="233" applyFont="1" applyFill="1" applyAlignment="1">
      <alignment horizontal="center"/>
    </xf>
    <xf numFmtId="0" fontId="116" fillId="0" borderId="0" xfId="233" applyFont="1" applyFill="1" applyAlignment="1">
      <alignment horizontal="center"/>
    </xf>
    <xf numFmtId="0" fontId="7" fillId="0" borderId="25" xfId="233" applyFont="1" applyFill="1" applyBorder="1" applyAlignment="1">
      <alignment horizontal="center"/>
    </xf>
    <xf numFmtId="0" fontId="8" fillId="0" borderId="114" xfId="81" applyFont="1" applyFill="1" applyBorder="1" applyAlignment="1">
      <alignment horizontal="center"/>
    </xf>
    <xf numFmtId="0" fontId="8" fillId="0" borderId="20" xfId="81" applyFont="1" applyFill="1" applyBorder="1" applyAlignment="1">
      <alignment horizontal="center"/>
    </xf>
    <xf numFmtId="0" fontId="7" fillId="0" borderId="25" xfId="233" applyFont="1" applyFill="1" applyBorder="1" applyAlignment="1" applyProtection="1">
      <alignment horizontal="center"/>
      <protection locked="0"/>
    </xf>
    <xf numFmtId="0" fontId="7" fillId="0" borderId="114" xfId="233" applyFont="1" applyFill="1" applyBorder="1" applyAlignment="1" applyProtection="1">
      <alignment horizontal="center"/>
      <protection locked="0"/>
    </xf>
    <xf numFmtId="0" fontId="7" fillId="0" borderId="20" xfId="233" applyFont="1" applyFill="1" applyBorder="1" applyAlignment="1" applyProtection="1">
      <alignment horizontal="center"/>
      <protection locked="0"/>
    </xf>
    <xf numFmtId="0" fontId="128" fillId="0" borderId="26" xfId="233" applyFont="1" applyFill="1" applyBorder="1" applyAlignment="1">
      <alignment horizontal="left"/>
    </xf>
    <xf numFmtId="0" fontId="128" fillId="0" borderId="19" xfId="233" applyFont="1" applyFill="1" applyBorder="1" applyAlignment="1">
      <alignment horizontal="left"/>
    </xf>
    <xf numFmtId="0" fontId="128" fillId="0" borderId="34" xfId="233" applyFont="1" applyFill="1" applyBorder="1" applyAlignment="1">
      <alignment horizontal="left"/>
    </xf>
    <xf numFmtId="0" fontId="128" fillId="0" borderId="125" xfId="233" applyFont="1" applyFill="1" applyBorder="1" applyAlignment="1">
      <alignment horizontal="left"/>
    </xf>
    <xf numFmtId="0" fontId="7" fillId="0" borderId="18" xfId="233" applyFont="1" applyFill="1" applyBorder="1" applyAlignment="1">
      <alignment horizontal="center"/>
    </xf>
    <xf numFmtId="0" fontId="7" fillId="0" borderId="12" xfId="233" applyFont="1" applyFill="1" applyBorder="1" applyAlignment="1">
      <alignment horizontal="center"/>
    </xf>
    <xf numFmtId="0" fontId="7" fillId="0" borderId="13" xfId="233" applyFont="1" applyFill="1" applyBorder="1" applyAlignment="1">
      <alignment horizontal="center"/>
    </xf>
    <xf numFmtId="0" fontId="7" fillId="0" borderId="114" xfId="233" applyFont="1" applyFill="1" applyBorder="1" applyAlignment="1">
      <alignment horizontal="center"/>
    </xf>
    <xf numFmtId="0" fontId="7" fillId="0" borderId="20" xfId="233" applyFont="1" applyFill="1" applyBorder="1" applyAlignment="1">
      <alignment horizontal="center"/>
    </xf>
    <xf numFmtId="0" fontId="132" fillId="0" borderId="28" xfId="233" applyFont="1" applyFill="1" applyBorder="1" applyAlignment="1">
      <alignment horizontal="left" wrapText="1"/>
    </xf>
    <xf numFmtId="0" fontId="132" fillId="0" borderId="29" xfId="233" applyFont="1" applyFill="1" applyBorder="1" applyAlignment="1">
      <alignment horizontal="left" wrapText="1"/>
    </xf>
    <xf numFmtId="0" fontId="128" fillId="0" borderId="28" xfId="233" applyFont="1" applyFill="1" applyBorder="1" applyAlignment="1">
      <alignment horizontal="center" wrapText="1"/>
    </xf>
    <xf numFmtId="0" fontId="128" fillId="0" borderId="29" xfId="233" applyFont="1" applyFill="1" applyBorder="1" applyAlignment="1">
      <alignment horizontal="center" wrapText="1"/>
    </xf>
    <xf numFmtId="0" fontId="132" fillId="0" borderId="26" xfId="233" applyFont="1" applyFill="1" applyBorder="1" applyAlignment="1">
      <alignment horizontal="center" wrapText="1"/>
    </xf>
    <xf numFmtId="0" fontId="132" fillId="0" borderId="19" xfId="233" applyFont="1" applyFill="1" applyBorder="1" applyAlignment="1">
      <alignment horizontal="center" wrapText="1"/>
    </xf>
    <xf numFmtId="0" fontId="128" fillId="0" borderId="135" xfId="233" applyFont="1" applyFill="1" applyBorder="1" applyAlignment="1">
      <alignment horizontal="center" wrapText="1"/>
    </xf>
    <xf numFmtId="0" fontId="128" fillId="0" borderId="136" xfId="233" applyFont="1" applyFill="1" applyBorder="1" applyAlignment="1">
      <alignment horizontal="center" wrapText="1"/>
    </xf>
    <xf numFmtId="0" fontId="8" fillId="0" borderId="26" xfId="233" applyFont="1" applyFill="1" applyBorder="1" applyAlignment="1">
      <alignment horizontal="center" wrapText="1"/>
    </xf>
    <xf numFmtId="0" fontId="8" fillId="0" borderId="19" xfId="233" applyFont="1" applyFill="1" applyBorder="1" applyAlignment="1">
      <alignment horizontal="center" wrapText="1"/>
    </xf>
    <xf numFmtId="0" fontId="8" fillId="0" borderId="26" xfId="233" applyFont="1" applyFill="1" applyBorder="1" applyAlignment="1">
      <alignment horizontal="left" wrapText="1"/>
    </xf>
    <xf numFmtId="0" fontId="8" fillId="0" borderId="19" xfId="233" applyFont="1" applyFill="1" applyBorder="1" applyAlignment="1">
      <alignment horizontal="left" wrapText="1"/>
    </xf>
    <xf numFmtId="0" fontId="116" fillId="0" borderId="0" xfId="233" applyFont="1" applyFill="1" applyAlignment="1">
      <alignment horizontal="left"/>
    </xf>
    <xf numFmtId="0" fontId="15" fillId="0" borderId="43" xfId="0" applyFont="1" applyBorder="1" applyAlignment="1">
      <alignment wrapText="1"/>
    </xf>
    <xf numFmtId="0" fontId="15" fillId="0" borderId="0" xfId="0" applyFont="1" applyBorder="1" applyAlignment="1">
      <alignment wrapText="1"/>
    </xf>
    <xf numFmtId="0" fontId="15" fillId="0" borderId="11" xfId="0" applyFont="1" applyBorder="1" applyAlignment="1">
      <alignment wrapText="1"/>
    </xf>
    <xf numFmtId="0" fontId="27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157" fillId="0" borderId="0" xfId="0" applyFont="1" applyFill="1" applyAlignment="1">
      <alignment horizontal="center" vertical="center" wrapText="1"/>
    </xf>
    <xf numFmtId="0" fontId="157" fillId="0" borderId="0" xfId="0" applyFont="1" applyFill="1" applyAlignment="1">
      <alignment horizontal="right"/>
    </xf>
    <xf numFmtId="0" fontId="158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/>
    </xf>
    <xf numFmtId="0" fontId="24" fillId="0" borderId="18" xfId="0" applyFont="1" applyFill="1" applyBorder="1" applyAlignment="1">
      <alignment horizontal="center" vertical="center" wrapText="1"/>
    </xf>
    <xf numFmtId="0" fontId="24" fillId="0" borderId="13" xfId="0" applyFont="1" applyFill="1" applyBorder="1" applyAlignment="1"/>
    <xf numFmtId="0" fontId="24" fillId="0" borderId="43" xfId="0" applyFont="1" applyFill="1" applyBorder="1" applyAlignment="1"/>
    <xf numFmtId="0" fontId="24" fillId="0" borderId="11" xfId="0" applyFont="1" applyFill="1" applyBorder="1" applyAlignment="1"/>
    <xf numFmtId="0" fontId="24" fillId="0" borderId="44" xfId="0" applyFont="1" applyFill="1" applyBorder="1" applyAlignment="1"/>
    <xf numFmtId="0" fontId="24" fillId="0" borderId="15" xfId="0" applyFont="1" applyFill="1" applyBorder="1" applyAlignment="1"/>
    <xf numFmtId="0" fontId="24" fillId="0" borderId="28" xfId="0" applyFont="1" applyFill="1" applyBorder="1" applyAlignment="1">
      <alignment horizontal="center" vertical="center" wrapText="1"/>
    </xf>
    <xf numFmtId="0" fontId="24" fillId="0" borderId="30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24" fillId="0" borderId="44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/>
    </xf>
    <xf numFmtId="0" fontId="13" fillId="0" borderId="28" xfId="0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/>
    </xf>
    <xf numFmtId="0" fontId="13" fillId="0" borderId="29" xfId="0" applyFont="1" applyFill="1" applyBorder="1" applyAlignment="1">
      <alignment horizontal="center" vertical="center"/>
    </xf>
    <xf numFmtId="0" fontId="13" fillId="0" borderId="28" xfId="0" applyFont="1" applyFill="1" applyBorder="1" applyAlignment="1">
      <alignment horizontal="left" vertical="center" indent="2"/>
    </xf>
    <xf numFmtId="0" fontId="13" fillId="0" borderId="29" xfId="0" applyFont="1" applyFill="1" applyBorder="1" applyAlignment="1">
      <alignment horizontal="left" vertical="center" indent="2"/>
    </xf>
    <xf numFmtId="170" fontId="161" fillId="0" borderId="0" xfId="0" applyNumberFormat="1" applyFont="1" applyFill="1" applyBorder="1" applyAlignment="1">
      <alignment horizontal="center" vertical="center"/>
    </xf>
    <xf numFmtId="3" fontId="24" fillId="0" borderId="28" xfId="0" applyNumberFormat="1" applyFont="1" applyFill="1" applyBorder="1" applyAlignment="1">
      <alignment horizontal="center" vertical="center"/>
    </xf>
    <xf numFmtId="3" fontId="24" fillId="0" borderId="30" xfId="0" applyNumberFormat="1" applyFont="1" applyFill="1" applyBorder="1" applyAlignment="1">
      <alignment horizontal="center" vertical="center"/>
    </xf>
    <xf numFmtId="3" fontId="24" fillId="0" borderId="29" xfId="0" applyNumberFormat="1" applyFont="1" applyFill="1" applyBorder="1" applyAlignment="1">
      <alignment horizontal="center" vertical="center"/>
    </xf>
    <xf numFmtId="170" fontId="161" fillId="0" borderId="0" xfId="0" applyNumberFormat="1" applyFont="1" applyFill="1" applyBorder="1" applyAlignment="1">
      <alignment horizontal="center"/>
    </xf>
    <xf numFmtId="0" fontId="161" fillId="0" borderId="0" xfId="0" applyFont="1" applyFill="1" applyBorder="1" applyAlignment="1">
      <alignment horizontal="left" vertical="top" wrapText="1"/>
    </xf>
    <xf numFmtId="0" fontId="10" fillId="0" borderId="4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56" fillId="0" borderId="0" xfId="0" applyFont="1" applyFill="1" applyAlignment="1">
      <alignment horizontal="right"/>
    </xf>
    <xf numFmtId="0" fontId="156" fillId="0" borderId="0" xfId="0" applyFont="1" applyFill="1" applyAlignment="1">
      <alignment horizontal="left"/>
    </xf>
    <xf numFmtId="0" fontId="15" fillId="0" borderId="18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/>
    <xf numFmtId="0" fontId="15" fillId="0" borderId="43" xfId="0" applyFont="1" applyFill="1" applyBorder="1" applyAlignment="1"/>
    <xf numFmtId="0" fontId="15" fillId="0" borderId="0" xfId="0" applyFont="1" applyFill="1" applyBorder="1" applyAlignment="1"/>
    <xf numFmtId="0" fontId="15" fillId="0" borderId="44" xfId="0" applyFont="1" applyFill="1" applyBorder="1" applyAlignment="1"/>
    <xf numFmtId="0" fontId="15" fillId="0" borderId="14" xfId="0" applyFont="1" applyFill="1" applyBorder="1" applyAlignment="1"/>
    <xf numFmtId="0" fontId="15" fillId="0" borderId="28" xfId="0" applyFont="1" applyFill="1" applyBorder="1" applyAlignment="1">
      <alignment horizontal="center" vertical="center"/>
    </xf>
    <xf numFmtId="0" fontId="15" fillId="0" borderId="30" xfId="0" applyFont="1" applyFill="1" applyBorder="1" applyAlignment="1">
      <alignment horizontal="center" vertical="center"/>
    </xf>
    <xf numFmtId="0" fontId="15" fillId="0" borderId="29" xfId="0" applyFont="1" applyFill="1" applyBorder="1" applyAlignment="1">
      <alignment horizontal="center" vertical="center"/>
    </xf>
    <xf numFmtId="170" fontId="153" fillId="0" borderId="0" xfId="0" applyNumberFormat="1" applyFont="1" applyFill="1" applyBorder="1" applyAlignment="1">
      <alignment horizontal="center" vertical="center"/>
    </xf>
    <xf numFmtId="0" fontId="15" fillId="0" borderId="28" xfId="0" applyFont="1" applyFill="1" applyBorder="1" applyAlignment="1">
      <alignment horizontal="center" vertical="center" wrapText="1"/>
    </xf>
    <xf numFmtId="0" fontId="15" fillId="0" borderId="30" xfId="0" applyFont="1" applyFill="1" applyBorder="1" applyAlignment="1">
      <alignment horizontal="center" vertical="center" wrapText="1"/>
    </xf>
    <xf numFmtId="0" fontId="15" fillId="0" borderId="29" xfId="0" applyFont="1" applyFill="1" applyBorder="1" applyAlignment="1">
      <alignment horizontal="center" vertical="center" wrapText="1"/>
    </xf>
    <xf numFmtId="3" fontId="15" fillId="0" borderId="30" xfId="0" applyNumberFormat="1" applyFont="1" applyFill="1" applyBorder="1" applyAlignment="1">
      <alignment horizontal="center"/>
    </xf>
    <xf numFmtId="3" fontId="15" fillId="0" borderId="29" xfId="0" applyNumberFormat="1" applyFont="1" applyFill="1" applyBorder="1" applyAlignment="1">
      <alignment horizontal="center"/>
    </xf>
    <xf numFmtId="170" fontId="154" fillId="0" borderId="0" xfId="0" applyNumberFormat="1" applyFont="1" applyFill="1" applyBorder="1" applyAlignment="1">
      <alignment horizontal="center"/>
    </xf>
    <xf numFmtId="0" fontId="154" fillId="0" borderId="0" xfId="0" applyFont="1" applyFill="1" applyBorder="1" applyAlignment="1">
      <alignment horizontal="left" vertical="top" wrapText="1"/>
    </xf>
    <xf numFmtId="170" fontId="157" fillId="0" borderId="123" xfId="241" applyNumberFormat="1" applyFont="1" applyFill="1" applyBorder="1" applyAlignment="1" applyProtection="1">
      <alignment horizontal="center" vertical="center" wrapText="1"/>
      <protection hidden="1"/>
    </xf>
    <xf numFmtId="170" fontId="157" fillId="0" borderId="10" xfId="241" applyNumberFormat="1" applyFont="1" applyFill="1" applyBorder="1" applyAlignment="1" applyProtection="1">
      <alignment horizontal="center" vertical="center" wrapText="1"/>
      <protection hidden="1"/>
    </xf>
    <xf numFmtId="170" fontId="157" fillId="0" borderId="40" xfId="241" applyNumberFormat="1" applyFont="1" applyFill="1" applyBorder="1" applyAlignment="1" applyProtection="1">
      <alignment horizontal="center" vertical="center" wrapText="1"/>
      <protection hidden="1"/>
    </xf>
    <xf numFmtId="170" fontId="157" fillId="0" borderId="139" xfId="241" applyNumberFormat="1" applyFont="1" applyFill="1" applyBorder="1" applyAlignment="1" applyProtection="1">
      <alignment horizontal="center" vertical="center"/>
      <protection hidden="1"/>
    </xf>
    <xf numFmtId="170" fontId="157" fillId="0" borderId="46" xfId="241" applyNumberFormat="1" applyFont="1" applyFill="1" applyBorder="1" applyAlignment="1" applyProtection="1">
      <alignment horizontal="center" vertical="center"/>
      <protection hidden="1"/>
    </xf>
    <xf numFmtId="170" fontId="157" fillId="0" borderId="170" xfId="241" applyNumberFormat="1" applyFont="1" applyFill="1" applyBorder="1" applyAlignment="1" applyProtection="1">
      <alignment horizontal="center" vertical="center"/>
      <protection hidden="1"/>
    </xf>
    <xf numFmtId="170" fontId="157" fillId="0" borderId="138" xfId="241" applyNumberFormat="1" applyFont="1" applyFill="1" applyBorder="1" applyAlignment="1" applyProtection="1">
      <alignment horizontal="center" vertical="center" wrapText="1"/>
      <protection hidden="1"/>
    </xf>
    <xf numFmtId="170" fontId="157" fillId="0" borderId="45" xfId="241" applyNumberFormat="1" applyFont="1" applyFill="1" applyBorder="1" applyAlignment="1" applyProtection="1">
      <alignment horizontal="center" vertical="center" wrapText="1"/>
      <protection hidden="1"/>
    </xf>
    <xf numFmtId="170" fontId="157" fillId="0" borderId="169" xfId="241" applyNumberFormat="1" applyFont="1" applyFill="1" applyBorder="1" applyAlignment="1" applyProtection="1">
      <alignment horizontal="center" vertical="center" wrapText="1"/>
      <protection hidden="1"/>
    </xf>
    <xf numFmtId="170" fontId="157" fillId="0" borderId="21" xfId="241" applyNumberFormat="1" applyFont="1" applyFill="1" applyBorder="1" applyAlignment="1" applyProtection="1">
      <alignment horizontal="center" vertical="center" wrapText="1"/>
      <protection hidden="1"/>
    </xf>
    <xf numFmtId="170" fontId="157" fillId="0" borderId="22" xfId="241" applyNumberFormat="1" applyFont="1" applyFill="1" applyBorder="1" applyAlignment="1" applyProtection="1">
      <alignment horizontal="center" vertical="center" wrapText="1"/>
      <protection hidden="1"/>
    </xf>
    <xf numFmtId="170" fontId="157" fillId="0" borderId="41" xfId="241" applyNumberFormat="1" applyFont="1" applyFill="1" applyBorder="1" applyAlignment="1" applyProtection="1">
      <alignment horizontal="center" vertical="center" wrapText="1"/>
      <protection hidden="1"/>
    </xf>
    <xf numFmtId="0" fontId="157" fillId="0" borderId="0" xfId="29" applyFont="1" applyFill="1" applyBorder="1" applyAlignment="1">
      <alignment horizontal="left" vertical="center" wrapText="1"/>
    </xf>
    <xf numFmtId="170" fontId="157" fillId="0" borderId="140" xfId="241" applyNumberFormat="1" applyFont="1" applyFill="1" applyBorder="1" applyAlignment="1" applyProtection="1">
      <alignment horizontal="center" vertical="center"/>
      <protection hidden="1"/>
    </xf>
    <xf numFmtId="170" fontId="157" fillId="0" borderId="145" xfId="241" applyNumberFormat="1" applyFont="1" applyFill="1" applyBorder="1" applyAlignment="1" applyProtection="1">
      <alignment horizontal="center" vertical="center"/>
      <protection hidden="1"/>
    </xf>
    <xf numFmtId="170" fontId="157" fillId="0" borderId="168" xfId="241" applyNumberFormat="1" applyFont="1" applyFill="1" applyBorder="1" applyAlignment="1" applyProtection="1">
      <alignment horizontal="center" vertical="center"/>
      <protection hidden="1"/>
    </xf>
    <xf numFmtId="0" fontId="157" fillId="0" borderId="100" xfId="82" applyFont="1" applyFill="1" applyBorder="1" applyAlignment="1">
      <alignment horizontal="left" vertical="top"/>
    </xf>
    <xf numFmtId="0" fontId="157" fillId="0" borderId="45" xfId="82" applyFont="1" applyFill="1" applyBorder="1" applyAlignment="1">
      <alignment horizontal="left" vertical="top"/>
    </xf>
    <xf numFmtId="0" fontId="157" fillId="0" borderId="190" xfId="82" applyFont="1" applyFill="1" applyBorder="1" applyAlignment="1">
      <alignment horizontal="left" vertical="top"/>
    </xf>
    <xf numFmtId="0" fontId="157" fillId="0" borderId="169" xfId="82" applyFont="1" applyFill="1" applyBorder="1" applyAlignment="1">
      <alignment horizontal="left" vertical="top"/>
    </xf>
    <xf numFmtId="0" fontId="158" fillId="0" borderId="138" xfId="82" applyFont="1" applyFill="1" applyBorder="1" applyAlignment="1">
      <alignment horizontal="left" vertical="center" wrapText="1"/>
    </xf>
    <xf numFmtId="0" fontId="158" fillId="0" borderId="45" xfId="82" applyFont="1" applyFill="1" applyBorder="1" applyAlignment="1">
      <alignment horizontal="left" vertical="center" wrapText="1"/>
    </xf>
    <xf numFmtId="0" fontId="158" fillId="0" borderId="23" xfId="82" applyFont="1" applyFill="1" applyBorder="1" applyAlignment="1">
      <alignment horizontal="left" vertical="center" wrapText="1"/>
    </xf>
    <xf numFmtId="0" fontId="160" fillId="0" borderId="0" xfId="29" applyNumberFormat="1" applyFont="1" applyBorder="1" applyAlignment="1">
      <alignment horizontal="right" vertical="center" wrapText="1"/>
    </xf>
    <xf numFmtId="0" fontId="23" fillId="0" borderId="0" xfId="91" applyFont="1" applyFill="1" applyAlignment="1">
      <alignment horizontal="right" vertical="center"/>
    </xf>
    <xf numFmtId="0" fontId="193" fillId="0" borderId="0" xfId="29" applyFont="1" applyFill="1" applyBorder="1" applyAlignment="1">
      <alignment horizontal="center" vertical="center" wrapText="1"/>
    </xf>
    <xf numFmtId="0" fontId="184" fillId="0" borderId="100" xfId="29" applyFont="1" applyFill="1" applyBorder="1" applyAlignment="1">
      <alignment horizontal="center" vertical="center" wrapText="1"/>
    </xf>
    <xf numFmtId="0" fontId="184" fillId="0" borderId="45" xfId="29" applyFont="1" applyFill="1" applyBorder="1" applyAlignment="1">
      <alignment horizontal="center" vertical="center" wrapText="1"/>
    </xf>
    <xf numFmtId="0" fontId="184" fillId="0" borderId="23" xfId="29" applyFont="1" applyFill="1" applyBorder="1" applyAlignment="1">
      <alignment horizontal="center" vertical="center" wrapText="1"/>
    </xf>
    <xf numFmtId="0" fontId="157" fillId="0" borderId="32" xfId="29" applyFont="1" applyFill="1" applyBorder="1" applyAlignment="1">
      <alignment horizontal="center" vertical="center" wrapText="1"/>
    </xf>
    <xf numFmtId="0" fontId="157" fillId="0" borderId="22" xfId="29" applyFont="1" applyFill="1" applyBorder="1" applyAlignment="1">
      <alignment horizontal="center" vertical="center" wrapText="1"/>
    </xf>
    <xf numFmtId="0" fontId="157" fillId="0" borderId="24" xfId="29" applyFont="1" applyFill="1" applyBorder="1" applyAlignment="1">
      <alignment horizontal="center" vertical="center" wrapText="1"/>
    </xf>
    <xf numFmtId="0" fontId="157" fillId="0" borderId="41" xfId="29" applyFont="1" applyFill="1" applyBorder="1" applyAlignment="1">
      <alignment horizontal="center" vertical="center" wrapText="1"/>
    </xf>
    <xf numFmtId="0" fontId="184" fillId="0" borderId="185" xfId="29" applyFont="1" applyFill="1" applyBorder="1" applyAlignment="1">
      <alignment horizontal="center" vertical="center" wrapText="1"/>
    </xf>
    <xf numFmtId="0" fontId="184" fillId="0" borderId="12" xfId="29" applyFont="1" applyFill="1" applyBorder="1" applyAlignment="1">
      <alignment horizontal="center" vertical="center" wrapText="1"/>
    </xf>
    <xf numFmtId="0" fontId="184" fillId="0" borderId="46" xfId="29" applyFont="1" applyFill="1" applyBorder="1" applyAlignment="1">
      <alignment horizontal="center" vertical="center" wrapText="1"/>
    </xf>
    <xf numFmtId="0" fontId="184" fillId="0" borderId="0" xfId="29" applyFont="1" applyFill="1" applyBorder="1" applyAlignment="1">
      <alignment horizontal="center" vertical="center" wrapText="1"/>
    </xf>
    <xf numFmtId="0" fontId="184" fillId="0" borderId="26" xfId="29" applyFont="1" applyFill="1" applyBorder="1" applyAlignment="1">
      <alignment horizontal="center" vertical="center" wrapText="1"/>
    </xf>
    <xf numFmtId="0" fontId="184" fillId="0" borderId="38" xfId="29" applyFont="1" applyFill="1" applyBorder="1" applyAlignment="1">
      <alignment horizontal="center" vertical="center" wrapText="1"/>
    </xf>
    <xf numFmtId="0" fontId="184" fillId="0" borderId="19" xfId="29" applyFont="1" applyFill="1" applyBorder="1" applyAlignment="1">
      <alignment horizontal="center" vertical="center" wrapText="1"/>
    </xf>
    <xf numFmtId="0" fontId="184" fillId="0" borderId="34" xfId="29" applyFont="1" applyFill="1" applyBorder="1" applyAlignment="1">
      <alignment horizontal="center" vertical="center" wrapText="1"/>
    </xf>
    <xf numFmtId="0" fontId="184" fillId="0" borderId="124" xfId="29" applyFont="1" applyFill="1" applyBorder="1" applyAlignment="1">
      <alignment horizontal="center" vertical="center" wrapText="1"/>
    </xf>
    <xf numFmtId="0" fontId="184" fillId="0" borderId="125" xfId="29" applyFont="1" applyFill="1" applyBorder="1" applyAlignment="1">
      <alignment horizontal="center" vertical="center" wrapText="1"/>
    </xf>
    <xf numFmtId="0" fontId="157" fillId="0" borderId="21" xfId="29" applyFont="1" applyFill="1" applyBorder="1" applyAlignment="1">
      <alignment horizontal="center" vertical="center" wrapText="1"/>
    </xf>
    <xf numFmtId="0" fontId="184" fillId="0" borderId="100" xfId="82" applyFont="1" applyFill="1" applyBorder="1" applyAlignment="1">
      <alignment horizontal="left" vertical="top"/>
    </xf>
    <xf numFmtId="0" fontId="184" fillId="0" borderId="45" xfId="82" applyFont="1" applyFill="1" applyBorder="1" applyAlignment="1">
      <alignment horizontal="left" vertical="top"/>
    </xf>
    <xf numFmtId="0" fontId="184" fillId="0" borderId="23" xfId="82" applyFont="1" applyFill="1" applyBorder="1" applyAlignment="1">
      <alignment horizontal="left" vertical="top"/>
    </xf>
    <xf numFmtId="0" fontId="197" fillId="0" borderId="146" xfId="82" applyFont="1" applyFill="1" applyBorder="1" applyAlignment="1">
      <alignment horizontal="center" vertical="center"/>
    </xf>
    <xf numFmtId="0" fontId="197" fillId="0" borderId="145" xfId="82" applyFont="1" applyFill="1" applyBorder="1" applyAlignment="1">
      <alignment horizontal="center" vertical="center"/>
    </xf>
    <xf numFmtId="0" fontId="197" fillId="0" borderId="144" xfId="82" applyFont="1" applyFill="1" applyBorder="1" applyAlignment="1">
      <alignment horizontal="center" vertical="center"/>
    </xf>
    <xf numFmtId="0" fontId="160" fillId="0" borderId="45" xfId="82" applyFont="1" applyFill="1" applyBorder="1" applyAlignment="1">
      <alignment horizontal="left" vertical="center" wrapText="1"/>
    </xf>
    <xf numFmtId="0" fontId="160" fillId="0" borderId="23" xfId="82" applyFont="1" applyFill="1" applyBorder="1" applyAlignment="1">
      <alignment horizontal="left" vertical="center" wrapText="1"/>
    </xf>
    <xf numFmtId="0" fontId="184" fillId="0" borderId="190" xfId="82" applyFont="1" applyFill="1" applyBorder="1" applyAlignment="1">
      <alignment horizontal="left" vertical="top"/>
    </xf>
    <xf numFmtId="0" fontId="197" fillId="0" borderId="146" xfId="82" applyFont="1" applyFill="1" applyBorder="1" applyAlignment="1">
      <alignment horizontal="center" vertical="center" wrapText="1"/>
    </xf>
    <xf numFmtId="0" fontId="197" fillId="0" borderId="145" xfId="82" applyFont="1" applyFill="1" applyBorder="1" applyAlignment="1">
      <alignment horizontal="center" vertical="center" wrapText="1"/>
    </xf>
    <xf numFmtId="0" fontId="197" fillId="0" borderId="144" xfId="82" applyFont="1" applyFill="1" applyBorder="1" applyAlignment="1">
      <alignment horizontal="center" vertical="center" wrapText="1"/>
    </xf>
    <xf numFmtId="0" fontId="157" fillId="0" borderId="34" xfId="29" applyFont="1" applyFill="1" applyBorder="1" applyAlignment="1">
      <alignment horizontal="center" vertical="center" wrapText="1"/>
    </xf>
    <xf numFmtId="0" fontId="157" fillId="0" borderId="124" xfId="29" applyFont="1" applyFill="1" applyBorder="1" applyAlignment="1">
      <alignment horizontal="center" vertical="center" wrapText="1"/>
    </xf>
    <xf numFmtId="0" fontId="157" fillId="0" borderId="125" xfId="29" applyFont="1" applyFill="1" applyBorder="1" applyAlignment="1">
      <alignment horizontal="center" vertical="center" wrapText="1"/>
    </xf>
    <xf numFmtId="0" fontId="157" fillId="0" borderId="0" xfId="29" applyNumberFormat="1" applyFont="1" applyBorder="1" applyAlignment="1">
      <alignment horizontal="right" vertical="center" wrapText="1"/>
    </xf>
    <xf numFmtId="0" fontId="193" fillId="0" borderId="0" xfId="29" applyFont="1" applyFill="1" applyBorder="1" applyAlignment="1">
      <alignment horizontal="center" wrapText="1"/>
    </xf>
    <xf numFmtId="0" fontId="157" fillId="0" borderId="185" xfId="29" applyFont="1" applyFill="1" applyBorder="1" applyAlignment="1">
      <alignment horizontal="center" vertical="center" wrapText="1"/>
    </xf>
    <xf numFmtId="0" fontId="157" fillId="0" borderId="12" xfId="29" applyFont="1" applyFill="1" applyBorder="1" applyAlignment="1">
      <alignment horizontal="center" vertical="center" wrapText="1"/>
    </xf>
    <xf numFmtId="0" fontId="157" fillId="0" borderId="46" xfId="29" applyFont="1" applyFill="1" applyBorder="1" applyAlignment="1">
      <alignment horizontal="center" vertical="center" wrapText="1"/>
    </xf>
    <xf numFmtId="0" fontId="157" fillId="0" borderId="0" xfId="29" applyFont="1" applyFill="1" applyBorder="1" applyAlignment="1">
      <alignment horizontal="center" vertical="center" wrapText="1"/>
    </xf>
    <xf numFmtId="0" fontId="157" fillId="0" borderId="26" xfId="29" applyFont="1" applyFill="1" applyBorder="1" applyAlignment="1">
      <alignment horizontal="center" vertical="center" wrapText="1"/>
    </xf>
    <xf numFmtId="0" fontId="157" fillId="0" borderId="38" xfId="29" applyFont="1" applyFill="1" applyBorder="1" applyAlignment="1">
      <alignment horizontal="center" vertical="center" wrapText="1"/>
    </xf>
    <xf numFmtId="0" fontId="157" fillId="0" borderId="19" xfId="29" applyFont="1" applyFill="1" applyBorder="1" applyAlignment="1">
      <alignment horizontal="center" vertical="center" wrapText="1"/>
    </xf>
    <xf numFmtId="0" fontId="160" fillId="0" borderId="138" xfId="82" applyFont="1" applyFill="1" applyBorder="1" applyAlignment="1">
      <alignment horizontal="left" vertical="center" wrapText="1"/>
    </xf>
    <xf numFmtId="0" fontId="184" fillId="0" borderId="169" xfId="82" applyFont="1" applyFill="1" applyBorder="1" applyAlignment="1">
      <alignment horizontal="left" vertical="top"/>
    </xf>
    <xf numFmtId="0" fontId="197" fillId="0" borderId="192" xfId="82" applyFont="1" applyFill="1" applyBorder="1" applyAlignment="1">
      <alignment horizontal="center" vertical="center"/>
    </xf>
    <xf numFmtId="0" fontId="197" fillId="0" borderId="168" xfId="82" applyFont="1" applyFill="1" applyBorder="1" applyAlignment="1">
      <alignment horizontal="center" vertical="center"/>
    </xf>
    <xf numFmtId="0" fontId="15" fillId="0" borderId="28" xfId="0" applyFont="1" applyFill="1" applyBorder="1" applyAlignment="1">
      <alignment horizontal="center"/>
    </xf>
    <xf numFmtId="0" fontId="15" fillId="0" borderId="30" xfId="0" applyFont="1" applyFill="1" applyBorder="1" applyAlignment="1">
      <alignment horizontal="center"/>
    </xf>
    <xf numFmtId="0" fontId="15" fillId="0" borderId="29" xfId="0" applyFont="1" applyFill="1" applyBorder="1" applyAlignment="1">
      <alignment horizontal="center"/>
    </xf>
    <xf numFmtId="0" fontId="24" fillId="0" borderId="26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24" fillId="0" borderId="118" xfId="0" applyFont="1" applyFill="1" applyBorder="1" applyAlignment="1">
      <alignment horizontal="center" vertical="center" wrapText="1"/>
    </xf>
    <xf numFmtId="0" fontId="10" fillId="0" borderId="120" xfId="0" applyFont="1" applyFill="1" applyBorder="1"/>
    <xf numFmtId="0" fontId="10" fillId="0" borderId="15" xfId="0" applyFont="1" applyFill="1" applyBorder="1" applyAlignment="1">
      <alignment horizontal="center" vertical="center" wrapText="1"/>
    </xf>
    <xf numFmtId="0" fontId="159" fillId="0" borderId="0" xfId="0" applyFont="1" applyFill="1" applyAlignment="1">
      <alignment horizontal="center" vertical="center"/>
    </xf>
    <xf numFmtId="49" fontId="27" fillId="0" borderId="182" xfId="0" applyNumberFormat="1" applyFont="1" applyFill="1" applyBorder="1" applyAlignment="1">
      <alignment horizontal="left" indent="1"/>
    </xf>
    <xf numFmtId="49" fontId="27" fillId="0" borderId="183" xfId="0" applyNumberFormat="1" applyFont="1" applyFill="1" applyBorder="1" applyAlignment="1">
      <alignment horizontal="left" indent="1"/>
    </xf>
    <xf numFmtId="0" fontId="24" fillId="0" borderId="28" xfId="0" applyFont="1" applyFill="1" applyBorder="1" applyAlignment="1">
      <alignment vertical="center"/>
    </xf>
    <xf numFmtId="0" fontId="24" fillId="0" borderId="30" xfId="0" applyFont="1" applyFill="1" applyBorder="1" applyAlignment="1">
      <alignment vertical="center"/>
    </xf>
    <xf numFmtId="0" fontId="27" fillId="0" borderId="147" xfId="0" applyFont="1" applyFill="1" applyBorder="1" applyAlignment="1">
      <alignment horizontal="left" indent="1"/>
    </xf>
    <xf numFmtId="0" fontId="27" fillId="0" borderId="174" xfId="0" applyFont="1" applyFill="1" applyBorder="1" applyAlignment="1">
      <alignment horizontal="left" indent="1"/>
    </xf>
    <xf numFmtId="49" fontId="27" fillId="0" borderId="152" xfId="0" applyNumberFormat="1" applyFont="1" applyFill="1" applyBorder="1" applyAlignment="1">
      <alignment horizontal="left" indent="1"/>
    </xf>
    <xf numFmtId="49" fontId="27" fillId="0" borderId="181" xfId="0" applyNumberFormat="1" applyFont="1" applyFill="1" applyBorder="1" applyAlignment="1">
      <alignment horizontal="left" indent="1"/>
    </xf>
    <xf numFmtId="0" fontId="24" fillId="0" borderId="28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49" fontId="24" fillId="0" borderId="28" xfId="0" applyNumberFormat="1" applyFont="1" applyFill="1" applyBorder="1" applyAlignment="1">
      <alignment vertical="center"/>
    </xf>
    <xf numFmtId="49" fontId="24" fillId="0" borderId="29" xfId="0" applyNumberFormat="1" applyFont="1" applyFill="1" applyBorder="1" applyAlignment="1">
      <alignment vertical="center"/>
    </xf>
    <xf numFmtId="0" fontId="23" fillId="0" borderId="12" xfId="0" applyFont="1" applyFill="1" applyBorder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Fill="1" applyAlignment="1">
      <alignment horizontal="right"/>
    </xf>
    <xf numFmtId="0" fontId="0" fillId="0" borderId="0" xfId="0" applyFill="1" applyBorder="1" applyAlignment="1">
      <alignment vertical="center"/>
    </xf>
    <xf numFmtId="0" fontId="50" fillId="24" borderId="0" xfId="0" applyFont="1" applyFill="1" applyAlignment="1">
      <alignment horizontal="center" wrapText="1"/>
    </xf>
    <xf numFmtId="0" fontId="62" fillId="27" borderId="18" xfId="0" applyFont="1" applyFill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63" fillId="0" borderId="18" xfId="0" applyFont="1" applyFill="1" applyBorder="1" applyAlignment="1">
      <alignment horizontal="center" wrapText="1"/>
    </xf>
    <xf numFmtId="0" fontId="64" fillId="0" borderId="13" xfId="0" applyFont="1" applyFill="1" applyBorder="1" applyAlignment="1">
      <alignment horizontal="center" wrapText="1"/>
    </xf>
    <xf numFmtId="0" fontId="63" fillId="0" borderId="44" xfId="0" applyFont="1" applyFill="1" applyBorder="1" applyAlignment="1">
      <alignment horizontal="center" wrapText="1"/>
    </xf>
    <xf numFmtId="0" fontId="64" fillId="0" borderId="15" xfId="0" applyFont="1" applyFill="1" applyBorder="1" applyAlignment="1">
      <alignment horizontal="center" wrapText="1"/>
    </xf>
    <xf numFmtId="0" fontId="65" fillId="27" borderId="18" xfId="0" applyFont="1" applyFill="1" applyBorder="1" applyAlignment="1">
      <alignment horizontal="center" vertical="center"/>
    </xf>
    <xf numFmtId="0" fontId="0" fillId="0" borderId="13" xfId="0" applyBorder="1"/>
    <xf numFmtId="0" fontId="66" fillId="0" borderId="13" xfId="0" applyFont="1" applyBorder="1" applyAlignment="1">
      <alignment horizontal="center" vertical="center"/>
    </xf>
    <xf numFmtId="0" fontId="67" fillId="27" borderId="18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3" fillId="28" borderId="18" xfId="0" applyFont="1" applyFill="1" applyBorder="1" applyAlignment="1">
      <alignment horizontal="center" vertical="center" wrapText="1"/>
    </xf>
    <xf numFmtId="0" fontId="13" fillId="28" borderId="12" xfId="0" applyFont="1" applyFill="1" applyBorder="1" applyAlignment="1">
      <alignment horizontal="center" vertical="center" wrapText="1"/>
    </xf>
    <xf numFmtId="0" fontId="13" fillId="28" borderId="13" xfId="0" applyFont="1" applyFill="1" applyBorder="1" applyAlignment="1">
      <alignment horizontal="center" vertical="center" wrapText="1"/>
    </xf>
    <xf numFmtId="0" fontId="68" fillId="29" borderId="18" xfId="0" applyFont="1" applyFill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62" fillId="27" borderId="44" xfId="0" applyFont="1" applyFill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65" fillId="27" borderId="44" xfId="0" applyFont="1" applyFill="1" applyBorder="1" applyAlignment="1">
      <alignment horizontal="center" vertical="center"/>
    </xf>
    <xf numFmtId="0" fontId="0" fillId="0" borderId="15" xfId="0" applyBorder="1"/>
    <xf numFmtId="0" fontId="66" fillId="0" borderId="15" xfId="0" applyFont="1" applyBorder="1" applyAlignment="1">
      <alignment horizontal="center" vertical="center"/>
    </xf>
    <xf numFmtId="0" fontId="67" fillId="27" borderId="4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3" fillId="28" borderId="44" xfId="0" applyFont="1" applyFill="1" applyBorder="1" applyAlignment="1">
      <alignment horizontal="center" vertical="center"/>
    </xf>
    <xf numFmtId="0" fontId="13" fillId="28" borderId="14" xfId="0" applyFont="1" applyFill="1" applyBorder="1" applyAlignment="1">
      <alignment horizontal="center" vertical="center"/>
    </xf>
    <xf numFmtId="0" fontId="13" fillId="28" borderId="15" xfId="0" applyFont="1" applyFill="1" applyBorder="1" applyAlignment="1">
      <alignment horizontal="center" vertical="center"/>
    </xf>
    <xf numFmtId="0" fontId="68" fillId="29" borderId="44" xfId="0" applyFont="1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0" fillId="25" borderId="50" xfId="0" applyFill="1" applyBorder="1" applyAlignment="1">
      <alignment vertical="center"/>
    </xf>
    <xf numFmtId="0" fontId="0" fillId="0" borderId="53" xfId="0" applyBorder="1" applyAlignment="1">
      <alignment vertical="center"/>
    </xf>
    <xf numFmtId="0" fontId="65" fillId="0" borderId="54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81" fillId="0" borderId="54" xfId="0" applyFont="1" applyFill="1" applyBorder="1" applyAlignment="1">
      <alignment horizontal="center" vertical="center" wrapText="1"/>
    </xf>
    <xf numFmtId="0" fontId="81" fillId="0" borderId="55" xfId="0" applyFont="1" applyFill="1" applyBorder="1" applyAlignment="1">
      <alignment horizontal="center" vertical="center" wrapText="1"/>
    </xf>
    <xf numFmtId="0" fontId="76" fillId="0" borderId="56" xfId="0" applyFont="1" applyFill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68" fillId="0" borderId="59" xfId="0" applyFont="1" applyBorder="1" applyAlignment="1">
      <alignment horizontal="center" vertical="center" wrapText="1"/>
    </xf>
    <xf numFmtId="0" fontId="68" fillId="0" borderId="60" xfId="0" applyFont="1" applyBorder="1" applyAlignment="1">
      <alignment horizontal="center" vertical="center" wrapText="1"/>
    </xf>
    <xf numFmtId="0" fontId="68" fillId="0" borderId="61" xfId="0" applyFont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left" vertical="top" wrapText="1"/>
    </xf>
    <xf numFmtId="0" fontId="13" fillId="0" borderId="30" xfId="0" applyFont="1" applyFill="1" applyBorder="1" applyAlignment="1">
      <alignment horizontal="left" vertical="top" wrapText="1"/>
    </xf>
    <xf numFmtId="0" fontId="13" fillId="0" borderId="29" xfId="0" applyFont="1" applyFill="1" applyBorder="1" applyAlignment="1">
      <alignment horizontal="left" vertical="top" wrapText="1"/>
    </xf>
    <xf numFmtId="0" fontId="65" fillId="0" borderId="54" xfId="0" applyFont="1" applyFill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60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85" fillId="0" borderId="66" xfId="0" applyFont="1" applyFill="1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83" fillId="0" borderId="56" xfId="0" applyFont="1" applyFill="1" applyBorder="1" applyAlignment="1">
      <alignment horizontal="center" vertical="center" wrapText="1"/>
    </xf>
    <xf numFmtId="0" fontId="83" fillId="0" borderId="57" xfId="0" applyFont="1" applyFill="1" applyBorder="1" applyAlignment="1">
      <alignment horizontal="center" vertical="center" wrapText="1"/>
    </xf>
    <xf numFmtId="0" fontId="83" fillId="0" borderId="58" xfId="0" applyFont="1" applyFill="1" applyBorder="1" applyAlignment="1">
      <alignment horizontal="center" vertical="center" wrapText="1"/>
    </xf>
    <xf numFmtId="49" fontId="10" fillId="25" borderId="12" xfId="0" applyNumberFormat="1" applyFont="1" applyFill="1" applyBorder="1" applyAlignment="1">
      <alignment horizontal="left" vertical="top" wrapText="1"/>
    </xf>
    <xf numFmtId="49" fontId="10" fillId="25" borderId="0" xfId="0" applyNumberFormat="1" applyFont="1" applyFill="1" applyBorder="1" applyAlignment="1">
      <alignment horizontal="left" vertical="top" wrapText="1"/>
    </xf>
    <xf numFmtId="0" fontId="85" fillId="0" borderId="66" xfId="0" applyFont="1" applyFill="1" applyBorder="1" applyAlignment="1">
      <alignment horizontal="center" vertical="center"/>
    </xf>
    <xf numFmtId="0" fontId="85" fillId="0" borderId="67" xfId="0" applyFont="1" applyFill="1" applyBorder="1" applyAlignment="1">
      <alignment horizontal="center" vertical="center"/>
    </xf>
    <xf numFmtId="0" fontId="85" fillId="0" borderId="68" xfId="0" applyFont="1" applyFill="1" applyBorder="1" applyAlignment="1">
      <alignment horizontal="center" vertical="center"/>
    </xf>
    <xf numFmtId="0" fontId="6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67" fillId="0" borderId="54" xfId="0" applyFont="1" applyFill="1" applyBorder="1" applyAlignment="1">
      <alignment horizontal="center" vertical="center" wrapText="1"/>
    </xf>
    <xf numFmtId="0" fontId="67" fillId="0" borderId="55" xfId="0" applyFont="1" applyFill="1" applyBorder="1" applyAlignment="1">
      <alignment horizontal="center" vertical="center" wrapText="1"/>
    </xf>
    <xf numFmtId="0" fontId="85" fillId="0" borderId="67" xfId="0" applyFont="1" applyFill="1" applyBorder="1" applyAlignment="1">
      <alignment horizontal="center" vertical="center" wrapText="1"/>
    </xf>
    <xf numFmtId="0" fontId="85" fillId="0" borderId="68" xfId="0" applyFont="1" applyFill="1" applyBorder="1" applyAlignment="1">
      <alignment horizontal="center" vertical="center" wrapText="1"/>
    </xf>
    <xf numFmtId="0" fontId="85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85" fillId="0" borderId="0" xfId="0" applyFont="1" applyFill="1" applyBorder="1" applyAlignment="1">
      <alignment horizontal="center" vertical="center"/>
    </xf>
  </cellXfs>
  <cellStyles count="244">
    <cellStyle name="20 % – Zvýraznění1" xfId="1" builtinId="30" customBuiltin="1"/>
    <cellStyle name="20 % – Zvýraznění1 2" xfId="97"/>
    <cellStyle name="20 % – Zvýraznění2" xfId="2" builtinId="34" customBuiltin="1"/>
    <cellStyle name="20 % – Zvýraznění2 2" xfId="98"/>
    <cellStyle name="20 % – Zvýraznění3" xfId="3" builtinId="38" customBuiltin="1"/>
    <cellStyle name="20 % – Zvýraznění3 2" xfId="99"/>
    <cellStyle name="20 % – Zvýraznění4" xfId="4" builtinId="42" customBuiltin="1"/>
    <cellStyle name="20 % – Zvýraznění4 2" xfId="100"/>
    <cellStyle name="20 % – Zvýraznění5" xfId="5" builtinId="46" customBuiltin="1"/>
    <cellStyle name="20 % – Zvýraznění5 2" xfId="101"/>
    <cellStyle name="20 % – Zvýraznění6" xfId="6" builtinId="50" customBuiltin="1"/>
    <cellStyle name="20 % – Zvýraznění6 2" xfId="102"/>
    <cellStyle name="20% - Accent1" xfId="45"/>
    <cellStyle name="20% - Accent2" xfId="46"/>
    <cellStyle name="20% - Accent3" xfId="47"/>
    <cellStyle name="20% - Accent4" xfId="48"/>
    <cellStyle name="20% - Accent5" xfId="49"/>
    <cellStyle name="20% - Accent6" xfId="50"/>
    <cellStyle name="40 % – Zvýraznění1" xfId="7" builtinId="31" customBuiltin="1"/>
    <cellStyle name="40 % – Zvýraznění1 2" xfId="103"/>
    <cellStyle name="40 % – Zvýraznění2" xfId="8" builtinId="35" customBuiltin="1"/>
    <cellStyle name="40 % – Zvýraznění2 2" xfId="104"/>
    <cellStyle name="40 % – Zvýraznění3" xfId="9" builtinId="39" customBuiltin="1"/>
    <cellStyle name="40 % – Zvýraznění3 2" xfId="105"/>
    <cellStyle name="40 % – Zvýraznění4" xfId="10" builtinId="43" customBuiltin="1"/>
    <cellStyle name="40 % – Zvýraznění4 2" xfId="106"/>
    <cellStyle name="40 % – Zvýraznění5" xfId="11" builtinId="47" customBuiltin="1"/>
    <cellStyle name="40 % – Zvýraznění5 2" xfId="107"/>
    <cellStyle name="40 % – Zvýraznění6" xfId="12" builtinId="51" customBuiltin="1"/>
    <cellStyle name="40 % – Zvýraznění6 2" xfId="108"/>
    <cellStyle name="40% - Accent1" xfId="51"/>
    <cellStyle name="40% - Accent2" xfId="52"/>
    <cellStyle name="40% - Accent3" xfId="53"/>
    <cellStyle name="40% - Accent4" xfId="54"/>
    <cellStyle name="40% - Accent5" xfId="55"/>
    <cellStyle name="40% - Accent6" xfId="56"/>
    <cellStyle name="60 % – Zvýraznění1" xfId="13" builtinId="32" customBuiltin="1"/>
    <cellStyle name="60 % – Zvýraznění1 2" xfId="109"/>
    <cellStyle name="60 % – Zvýraznění2" xfId="14" builtinId="36" customBuiltin="1"/>
    <cellStyle name="60 % – Zvýraznění2 2" xfId="110"/>
    <cellStyle name="60 % – Zvýraznění3" xfId="15" builtinId="40" customBuiltin="1"/>
    <cellStyle name="60 % – Zvýraznění3 2" xfId="111"/>
    <cellStyle name="60 % – Zvýraznění4" xfId="16" builtinId="44" customBuiltin="1"/>
    <cellStyle name="60 % – Zvýraznění4 2" xfId="112"/>
    <cellStyle name="60 % – Zvýraznění5" xfId="17" builtinId="48" customBuiltin="1"/>
    <cellStyle name="60 % – Zvýraznění5 2" xfId="113"/>
    <cellStyle name="60 % – Zvýraznění6" xfId="18" builtinId="52" customBuiltin="1"/>
    <cellStyle name="60 % – Zvýraznění6 2" xfId="114"/>
    <cellStyle name="60% - Accent1" xfId="57"/>
    <cellStyle name="60% - Accent2" xfId="58"/>
    <cellStyle name="60% - Accent3" xfId="59"/>
    <cellStyle name="60% - Accent4" xfId="60"/>
    <cellStyle name="60% - Accent5" xfId="61"/>
    <cellStyle name="60% - Accent6" xfId="62"/>
    <cellStyle name="Accent1" xfId="63"/>
    <cellStyle name="Accent1 - 20%" xfId="140"/>
    <cellStyle name="Accent1 - 40%" xfId="141"/>
    <cellStyle name="Accent1 - 60%" xfId="142"/>
    <cellStyle name="Accent2" xfId="64"/>
    <cellStyle name="Accent2 - 20%" xfId="143"/>
    <cellStyle name="Accent2 - 40%" xfId="144"/>
    <cellStyle name="Accent2 - 60%" xfId="145"/>
    <cellStyle name="Accent3" xfId="65"/>
    <cellStyle name="Accent3 - 20%" xfId="146"/>
    <cellStyle name="Accent3 - 40%" xfId="147"/>
    <cellStyle name="Accent3 - 60%" xfId="148"/>
    <cellStyle name="Accent4" xfId="66"/>
    <cellStyle name="Accent4 - 20%" xfId="149"/>
    <cellStyle name="Accent4 - 40%" xfId="150"/>
    <cellStyle name="Accent4 - 60%" xfId="151"/>
    <cellStyle name="Accent5" xfId="67"/>
    <cellStyle name="Accent5 - 20%" xfId="152"/>
    <cellStyle name="Accent5 - 40%" xfId="153"/>
    <cellStyle name="Accent5 - 60%" xfId="154"/>
    <cellStyle name="Accent6" xfId="68"/>
    <cellStyle name="Accent6 - 20%" xfId="155"/>
    <cellStyle name="Accent6 - 40%" xfId="156"/>
    <cellStyle name="Accent6 - 60%" xfId="157"/>
    <cellStyle name="Bad" xfId="69"/>
    <cellStyle name="Calculation" xfId="70"/>
    <cellStyle name="Celkem" xfId="19" builtinId="25" customBuiltin="1"/>
    <cellStyle name="Celkem 2" xfId="115"/>
    <cellStyle name="CISPUB0" xfId="158"/>
    <cellStyle name="Comma" xfId="159"/>
    <cellStyle name="Currency" xfId="160"/>
    <cellStyle name="čárky [0]_01Nadlimity2007_2009PF_K" xfId="161"/>
    <cellStyle name="čárky 2" xfId="162"/>
    <cellStyle name="Date" xfId="163"/>
    <cellStyle name="Emphasis 1" xfId="164"/>
    <cellStyle name="Emphasis 2" xfId="165"/>
    <cellStyle name="Emphasis 3" xfId="166"/>
    <cellStyle name="Explanatory Text" xfId="71"/>
    <cellStyle name="Fixed" xfId="167"/>
    <cellStyle name="Good" xfId="72"/>
    <cellStyle name="Heading 1" xfId="73"/>
    <cellStyle name="Heading 2" xfId="74"/>
    <cellStyle name="Heading 3" xfId="75"/>
    <cellStyle name="Heading 4" xfId="76"/>
    <cellStyle name="Heading1" xfId="168"/>
    <cellStyle name="Heading2" xfId="169"/>
    <cellStyle name="Check Cell" xfId="77"/>
    <cellStyle name="Chybně" xfId="20" builtinId="27" customBuiltin="1"/>
    <cellStyle name="Chybně 2" xfId="116"/>
    <cellStyle name="Input" xfId="78"/>
    <cellStyle name="Kontrolní buňka" xfId="21" builtinId="23" customBuiltin="1"/>
    <cellStyle name="Kontrolní buňka 2" xfId="117"/>
    <cellStyle name="Linked Cell" xfId="79"/>
    <cellStyle name="Nadpis 1" xfId="22" builtinId="16" customBuiltin="1"/>
    <cellStyle name="Nadpis 1 2" xfId="118"/>
    <cellStyle name="Nadpis 2" xfId="23" builtinId="17" customBuiltin="1"/>
    <cellStyle name="Nadpis 2 2" xfId="119"/>
    <cellStyle name="Nadpis 3" xfId="24" builtinId="18" customBuiltin="1"/>
    <cellStyle name="Nadpis 3 2" xfId="120"/>
    <cellStyle name="Nadpis 4" xfId="25" builtinId="19" customBuiltin="1"/>
    <cellStyle name="Nadpis 4 2" xfId="121"/>
    <cellStyle name="Název" xfId="26" builtinId="15" customBuiltin="1"/>
    <cellStyle name="Název 2" xfId="122"/>
    <cellStyle name="Neutral" xfId="80"/>
    <cellStyle name="Neutrální" xfId="27" builtinId="28" customBuiltin="1"/>
    <cellStyle name="Neutrální 2" xfId="123"/>
    <cellStyle name="Normal_Tableau1" xfId="28"/>
    <cellStyle name="Normální" xfId="0" builtinId="0"/>
    <cellStyle name="Normální 10" xfId="231"/>
    <cellStyle name="normální 2" xfId="81"/>
    <cellStyle name="Normální 2 2" xfId="138"/>
    <cellStyle name="Normální 2 2 2" xfId="139"/>
    <cellStyle name="Normální 2 2 2 2" xfId="242"/>
    <cellStyle name="Normální 2 2 2 3" xfId="243"/>
    <cellStyle name="normální 2 2_tabulky doplňující " xfId="170"/>
    <cellStyle name="normální 2 3" xfId="171"/>
    <cellStyle name="normální 2_MŠMT pro SZÚ" xfId="172"/>
    <cellStyle name="Normální 3" xfId="82"/>
    <cellStyle name="Normální 3 2" xfId="83"/>
    <cellStyle name="normální 3_MŠMT pro SZÚ" xfId="173"/>
    <cellStyle name="Normální 4" xfId="84"/>
    <cellStyle name="Normální 5" xfId="85"/>
    <cellStyle name="normální 5 2" xfId="174"/>
    <cellStyle name="normální 5_MŠMT pro SZÚ" xfId="175"/>
    <cellStyle name="Normální 6" xfId="92"/>
    <cellStyle name="normální 6 2" xfId="176"/>
    <cellStyle name="normální 6_MŠMT pro SZÚ" xfId="177"/>
    <cellStyle name="Normální 7" xfId="93"/>
    <cellStyle name="Normální 7 2" xfId="96"/>
    <cellStyle name="Normální 8" xfId="95"/>
    <cellStyle name="Normální 9" xfId="94"/>
    <cellStyle name="normální_131 TA" xfId="29"/>
    <cellStyle name="normální_333 pro rok 2012 (2)" xfId="236"/>
    <cellStyle name="normální_333 pro rok 2012 (2) 2" xfId="240"/>
    <cellStyle name="normální_344 ÚPV Hejný NR 2012" xfId="238"/>
    <cellStyle name="normální_bilance jednoduchá" xfId="239"/>
    <cellStyle name="normální_Bilance příjmů a výdajů SR (druhová a funkční)" xfId="232"/>
    <cellStyle name="normální_Formulář 2 6 - předáno 12 10 2007 (3)" xfId="30"/>
    <cellStyle name="normální_TAB MF_vyhl 342 2009 vybrané " xfId="233"/>
    <cellStyle name="normální_Tab. 2 - ukazatele" xfId="230"/>
    <cellStyle name="normální_Tabulky č   9  2008 SZÚ" xfId="234"/>
    <cellStyle name="normální_Válková tabulky k SR 2" xfId="91"/>
    <cellStyle name="normální_Vzor RO" xfId="241"/>
    <cellStyle name="normální_VZOR Tab  č  3" xfId="237"/>
    <cellStyle name="Note" xfId="86"/>
    <cellStyle name="Output" xfId="87"/>
    <cellStyle name="Percent" xfId="178"/>
    <cellStyle name="Poznámka" xfId="31" builtinId="10" customBuiltin="1"/>
    <cellStyle name="Poznámka 2" xfId="124"/>
    <cellStyle name="procent 2" xfId="179"/>
    <cellStyle name="procent 3" xfId="180"/>
    <cellStyle name="procent 3 2" xfId="181"/>
    <cellStyle name="Procenta" xfId="235" builtinId="5"/>
    <cellStyle name="Propojená buňka" xfId="32" builtinId="24" customBuiltin="1"/>
    <cellStyle name="Propojená buňka 2" xfId="125"/>
    <cellStyle name="SAPBEXaggData" xfId="182"/>
    <cellStyle name="SAPBEXaggDataEmph" xfId="183"/>
    <cellStyle name="SAPBEXaggItem" xfId="184"/>
    <cellStyle name="SAPBEXaggItemX" xfId="185"/>
    <cellStyle name="SAPBEXexcBad7" xfId="186"/>
    <cellStyle name="SAPBEXexcBad8" xfId="187"/>
    <cellStyle name="SAPBEXexcBad9" xfId="188"/>
    <cellStyle name="SAPBEXexcCritical4" xfId="189"/>
    <cellStyle name="SAPBEXexcCritical5" xfId="190"/>
    <cellStyle name="SAPBEXexcCritical6" xfId="191"/>
    <cellStyle name="SAPBEXexcGood1" xfId="192"/>
    <cellStyle name="SAPBEXexcGood2" xfId="193"/>
    <cellStyle name="SAPBEXexcGood3" xfId="194"/>
    <cellStyle name="SAPBEXfilterDrill" xfId="195"/>
    <cellStyle name="SAPBEXFilterInfo1" xfId="196"/>
    <cellStyle name="SAPBEXFilterInfo2" xfId="197"/>
    <cellStyle name="SAPBEXFilterInfoHlavicka" xfId="198"/>
    <cellStyle name="SAPBEXfilterItem" xfId="199"/>
    <cellStyle name="SAPBEXfilterText" xfId="200"/>
    <cellStyle name="SAPBEXformats" xfId="201"/>
    <cellStyle name="SAPBEXheaderItem" xfId="202"/>
    <cellStyle name="SAPBEXheaderText" xfId="203"/>
    <cellStyle name="SAPBEXHLevel0" xfId="204"/>
    <cellStyle name="SAPBEXHLevel0X" xfId="205"/>
    <cellStyle name="SAPBEXHLevel1" xfId="206"/>
    <cellStyle name="SAPBEXHLevel1X" xfId="207"/>
    <cellStyle name="SAPBEXHLevel2" xfId="208"/>
    <cellStyle name="SAPBEXHLevel2X" xfId="209"/>
    <cellStyle name="SAPBEXHLevel3" xfId="210"/>
    <cellStyle name="SAPBEXHLevel3X" xfId="211"/>
    <cellStyle name="SAPBEXchaText" xfId="212"/>
    <cellStyle name="SAPBEXinputData" xfId="213"/>
    <cellStyle name="SAPBEXItemHeader" xfId="214"/>
    <cellStyle name="SAPBEXresData" xfId="215"/>
    <cellStyle name="SAPBEXresDataEmph" xfId="216"/>
    <cellStyle name="SAPBEXresItem" xfId="217"/>
    <cellStyle name="SAPBEXresItemX" xfId="218"/>
    <cellStyle name="SAPBEXstdData" xfId="219"/>
    <cellStyle name="SAPBEXstdDataEmph" xfId="220"/>
    <cellStyle name="SAPBEXstdItem" xfId="221"/>
    <cellStyle name="SAPBEXstdItemX" xfId="222"/>
    <cellStyle name="SAPBEXtitle" xfId="223"/>
    <cellStyle name="SAPBEXunassignedItem" xfId="224"/>
    <cellStyle name="SAPBEXundefined" xfId="225"/>
    <cellStyle name="Sheet Title" xfId="226"/>
    <cellStyle name="Správně" xfId="33" builtinId="26" customBuiltin="1"/>
    <cellStyle name="Správně 2" xfId="126"/>
    <cellStyle name="Styl 1" xfId="227"/>
    <cellStyle name="Styl 2" xfId="228"/>
    <cellStyle name="Styl 3" xfId="229"/>
    <cellStyle name="Text upozornění" xfId="34" builtinId="11" customBuiltin="1"/>
    <cellStyle name="Text upozornění 2" xfId="127"/>
    <cellStyle name="Title" xfId="88"/>
    <cellStyle name="Total" xfId="89"/>
    <cellStyle name="Vstup" xfId="35" builtinId="20" customBuiltin="1"/>
    <cellStyle name="Vstup 2" xfId="128"/>
    <cellStyle name="Výpočet" xfId="36" builtinId="22" customBuiltin="1"/>
    <cellStyle name="Výpočet 2" xfId="129"/>
    <cellStyle name="Výstup" xfId="37" builtinId="21" customBuiltin="1"/>
    <cellStyle name="Výstup 2" xfId="130"/>
    <cellStyle name="Vysvětlující text" xfId="38" builtinId="53" customBuiltin="1"/>
    <cellStyle name="Vysvětlující text 2" xfId="131"/>
    <cellStyle name="Warning Text" xfId="90"/>
    <cellStyle name="Zvýraznění 1" xfId="39" builtinId="29" customBuiltin="1"/>
    <cellStyle name="Zvýraznění 1 2" xfId="132"/>
    <cellStyle name="Zvýraznění 2" xfId="40" builtinId="33" customBuiltin="1"/>
    <cellStyle name="Zvýraznění 2 2" xfId="133"/>
    <cellStyle name="Zvýraznění 3" xfId="41" builtinId="37" customBuiltin="1"/>
    <cellStyle name="Zvýraznění 3 2" xfId="134"/>
    <cellStyle name="Zvýraznění 4" xfId="42" builtinId="41" customBuiltin="1"/>
    <cellStyle name="Zvýraznění 4 2" xfId="135"/>
    <cellStyle name="Zvýraznění 5" xfId="43" builtinId="45" customBuiltin="1"/>
    <cellStyle name="Zvýraznění 5 2" xfId="136"/>
    <cellStyle name="Zvýraznění 6" xfId="44" builtinId="49" customBuiltin="1"/>
    <cellStyle name="Zvýraznění 6 2" xfId="1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4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kumenty\E_DATA\2001%20pr&#367;b&#283;h\Pril%204%20SR%2020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SZ&#218;%202000\I.%20&#269;tvrtlet&#237;\sestavy%205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2006/Parlament/Schv&#225;len&#253;%20MF%2003%20SR-2006-p&#345;&#237;loha%204%20z&#225;kona(9.12)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INDOWS\Plocha\Z%20U\ROK%2099\III.%20Q%201999\sestavy%205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ndsingerova/Documents/SZ&#218;%202015/Tabulky%20na%20MF%2020.2.16/Bilance%20p&#345;&#237;jm&#367;%20a%20v&#253;daj&#367;%20SR_12.201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ndrackovaS/AppData/Local/Microsoft/Windows/Temporary%20Internet%20Files/Content.Outlook/GHN1UZ7J/Tabulky%20k%20blok&#367;m%20-SZ&#218;-2015%20IISS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OVNER/VONDRACKOVA/Tabulky%20k%20blok&#367;m%20-SZ&#218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3-MPSV"/>
      <sheetName val="314-MV"/>
      <sheetName val="315-MŽP"/>
      <sheetName val="317-MMR"/>
      <sheetName val="321-GA"/>
      <sheetName val="322-MPO"/>
      <sheetName val="327-MDS"/>
      <sheetName val="328-ČTÚ"/>
      <sheetName val="329-MZe"/>
      <sheetName val="333-MŠMT"/>
      <sheetName val="334-MK"/>
      <sheetName val="335-MZd"/>
      <sheetName val="336-MSp"/>
      <sheetName val="341-ÚVIS"/>
      <sheetName val="343-ÚOOÚ"/>
      <sheetName val="344-ÚPV"/>
      <sheetName val="345-ČSÚ"/>
      <sheetName val="346-ČÚZK"/>
      <sheetName val="347-KCP"/>
      <sheetName val="348-ČBÚ"/>
      <sheetName val="353-ÚOHS"/>
      <sheetName val="358-ÚS"/>
      <sheetName val="361-AV"/>
      <sheetName val="372-RRTV"/>
      <sheetName val="374-SSHR"/>
      <sheetName val="375-SÚJB"/>
      <sheetName val="380-OÚ"/>
      <sheetName val="380BE"/>
      <sheetName val="380BI"/>
      <sheetName val="380BK"/>
      <sheetName val="380BN"/>
      <sheetName val="380BR"/>
      <sheetName val="380BV"/>
      <sheetName val="380CB"/>
      <sheetName val="380CH"/>
      <sheetName val="380CK"/>
      <sheetName val="380CL"/>
      <sheetName val="380CR"/>
      <sheetName val="380CV"/>
      <sheetName val="380DC"/>
      <sheetName val="380DO"/>
      <sheetName val="380FM"/>
      <sheetName val="380HB"/>
      <sheetName val="380HK"/>
      <sheetName val="380HO"/>
      <sheetName val="380JC"/>
      <sheetName val="380JE"/>
      <sheetName val="380JH"/>
      <sheetName val="380JI"/>
      <sheetName val="380JN"/>
      <sheetName val="380KD"/>
      <sheetName val="380KH"/>
      <sheetName val="380KI"/>
      <sheetName val="380KM"/>
      <sheetName val="380KO"/>
      <sheetName val="380KT"/>
      <sheetName val="380KV"/>
      <sheetName val="380LI"/>
      <sheetName val="380LN"/>
      <sheetName val="380LT"/>
      <sheetName val="380MB"/>
      <sheetName val="380ME"/>
      <sheetName val="380MO"/>
      <sheetName val="380NA"/>
      <sheetName val="380NB"/>
      <sheetName val="380NJ"/>
      <sheetName val="380OC"/>
      <sheetName val="380OP"/>
      <sheetName val="380PB"/>
      <sheetName val="380PE"/>
      <sheetName val="380PI"/>
      <sheetName val="380PJ"/>
      <sheetName val="380PR"/>
      <sheetName val="380PS"/>
      <sheetName val="380PT"/>
      <sheetName val="380PU"/>
      <sheetName val="380PV"/>
      <sheetName val="380PY"/>
      <sheetName val="380PZ"/>
      <sheetName val="380RA"/>
      <sheetName val="380RK"/>
      <sheetName val="380RO"/>
      <sheetName val="380SM"/>
      <sheetName val="380SO"/>
      <sheetName val="380ST"/>
      <sheetName val="380SU"/>
      <sheetName val="380SY"/>
      <sheetName val="380TA"/>
      <sheetName val="380TC"/>
      <sheetName val="380TP"/>
      <sheetName val="380TR"/>
      <sheetName val="380TU"/>
      <sheetName val="380UH"/>
      <sheetName val="380UL"/>
      <sheetName val="380UO"/>
      <sheetName val="380VS"/>
      <sheetName val="380VY"/>
      <sheetName val="380ZL"/>
      <sheetName val="380ZN"/>
      <sheetName val="380ZR"/>
      <sheetName val="381-NKÚ"/>
      <sheetName val="396-SD"/>
      <sheetName val="397-SFA"/>
      <sheetName val="398-VPS"/>
      <sheetName val="301_KPR"/>
      <sheetName val="SOUHRN 314"/>
      <sheetName val="314020"/>
      <sheetName val="314030"/>
      <sheetName val="314040"/>
      <sheetName val="314050"/>
      <sheetName val="314060"/>
      <sheetName val="314070"/>
      <sheetName val="314120"/>
      <sheetName val="314130"/>
      <sheetName val="314140"/>
      <sheetName val="314210"/>
      <sheetName val="314310"/>
      <sheetName val="314610"/>
      <sheetName val="314620"/>
      <sheetName val="Poznámky"/>
      <sheetName val="List1"/>
      <sheetName val="List3"/>
      <sheetName val="SOUHRN_314"/>
      <sheetName val="314Poz_Boris"/>
      <sheetName val="ISPROFIN_314"/>
      <sheetName val="ISPROFIN 2003_314"/>
      <sheetName val="314 volné 1"/>
      <sheetName val="214 volné 2"/>
      <sheetName val="214 názvy prg"/>
      <sheetName val="List2"/>
      <sheetName val="ISPROFIN 2003_SOUHRN_314"/>
      <sheetName val="REZERV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1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2-MF (2)"/>
      <sheetName val="313-MPSV-1"/>
      <sheetName val="313-MPSV-1 (2)"/>
      <sheetName val="313-MPSV-2"/>
      <sheetName val="314-MV-1"/>
      <sheetName val="314-MV-2"/>
      <sheetName val="314-MV-1 (2)"/>
      <sheetName val="315-MŽP"/>
      <sheetName val="317-MMR"/>
      <sheetName val="321-GA"/>
      <sheetName val="322-MPO"/>
      <sheetName val="322-MPO (2)"/>
      <sheetName val="327-MD"/>
      <sheetName val="328-ČTÚ"/>
      <sheetName val="329-MZe"/>
      <sheetName val="333-MŠMT"/>
      <sheetName val="334-MK-1"/>
      <sheetName val="334-MK-2"/>
      <sheetName val="335-MZd"/>
      <sheetName val="336-MSp"/>
      <sheetName val="338-MI"/>
      <sheetName val="343-ÚOOÚ"/>
      <sheetName val="344-ÚPV"/>
      <sheetName val="344-ÚPV (2)"/>
      <sheetName val="345-ČSÚ"/>
      <sheetName val="346-ČÚZK"/>
      <sheetName val="347-KCP"/>
      <sheetName val="348-ČBÚ"/>
      <sheetName val="349-ERÚ"/>
      <sheetName val="349-ERÚ (2)"/>
      <sheetName val="353-ÚOHS"/>
      <sheetName val="358-ÚS"/>
      <sheetName val="361-AV"/>
      <sheetName val="372-RRTV"/>
      <sheetName val="374-SSHR"/>
      <sheetName val="375-SÚJB"/>
      <sheetName val="381-NKÚ"/>
      <sheetName val="396-SD"/>
      <sheetName val="397-OSFA"/>
      <sheetName val="398-VPS"/>
      <sheetName val="Zkr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ceSR-druh"/>
      <sheetName val="Hlavicka"/>
      <sheetName val="Druhova_CAST7"/>
      <sheetName val="Druhova"/>
      <sheetName val="VýdajeSR-funk"/>
      <sheetName val="BExRepositorySheet"/>
      <sheetName val="Funkcni"/>
    </sheetNames>
    <sheetDataSet>
      <sheetData sheetId="0"/>
      <sheetData sheetId="1">
        <row r="3">
          <cell r="I3" t="str">
            <v>314 Ministerstvo vnitra</v>
          </cell>
        </row>
      </sheetData>
      <sheetData sheetId="2">
        <row r="8">
          <cell r="D8">
            <v>5512609.7769999998</v>
          </cell>
          <cell r="E8">
            <v>5512609.7769999998</v>
          </cell>
          <cell r="F8">
            <v>5617229.3716000002</v>
          </cell>
          <cell r="M8">
            <v>5301906.4461300001</v>
          </cell>
        </row>
      </sheetData>
      <sheetData sheetId="3">
        <row r="1">
          <cell r="B1" t="str">
            <v>012.2015</v>
          </cell>
          <cell r="C1" t="str">
            <v>012.2014</v>
          </cell>
        </row>
        <row r="2">
          <cell r="B2" t="str">
            <v>v tis.Kč</v>
          </cell>
        </row>
        <row r="3">
          <cell r="B3" t="str">
            <v>Sk012.2015/Sk012.2014</v>
          </cell>
        </row>
        <row r="19">
          <cell r="B19">
            <v>13000</v>
          </cell>
          <cell r="C19">
            <v>13000</v>
          </cell>
          <cell r="D19">
            <v>4679.2322299999996</v>
          </cell>
          <cell r="G19">
            <v>4100.6742299999996</v>
          </cell>
        </row>
        <row r="21">
          <cell r="B21">
            <v>13000</v>
          </cell>
          <cell r="C21">
            <v>13000</v>
          </cell>
          <cell r="D21">
            <v>4679.2322299999996</v>
          </cell>
          <cell r="G21">
            <v>4100.6742299999996</v>
          </cell>
        </row>
        <row r="30">
          <cell r="B30">
            <v>6207082.8339999998</v>
          </cell>
          <cell r="C30">
            <v>6207082.8339999998</v>
          </cell>
          <cell r="D30">
            <v>6186744.9409999996</v>
          </cell>
          <cell r="G30">
            <v>5834563.0512499996</v>
          </cell>
        </row>
        <row r="35">
          <cell r="B35">
            <v>6207082.8339999998</v>
          </cell>
          <cell r="C35">
            <v>6207082.8339999998</v>
          </cell>
          <cell r="D35">
            <v>6186744.9409999996</v>
          </cell>
          <cell r="G35">
            <v>5834563.0512499996</v>
          </cell>
        </row>
        <row r="38">
          <cell r="B38">
            <v>6220082.8339999998</v>
          </cell>
          <cell r="C38">
            <v>6220082.8339999998</v>
          </cell>
          <cell r="D38">
            <v>6191424.1732299998</v>
          </cell>
          <cell r="G38">
            <v>5838663.7254799996</v>
          </cell>
        </row>
        <row r="39">
          <cell r="B39">
            <v>13000</v>
          </cell>
          <cell r="C39">
            <v>13000</v>
          </cell>
          <cell r="D39">
            <v>4679.2322300010001</v>
          </cell>
          <cell r="G39">
            <v>4100.6742299999996</v>
          </cell>
        </row>
        <row r="40">
          <cell r="B40">
            <v>66960.171000000002</v>
          </cell>
          <cell r="C40">
            <v>117801.38377</v>
          </cell>
          <cell r="D40">
            <v>84091.271770000007</v>
          </cell>
          <cell r="G40">
            <v>82806.811549999999</v>
          </cell>
        </row>
        <row r="41">
          <cell r="B41">
            <v>23000</v>
          </cell>
          <cell r="C41">
            <v>62722</v>
          </cell>
          <cell r="D41">
            <v>103834.52499999999</v>
          </cell>
          <cell r="G41">
            <v>53019.646500000003</v>
          </cell>
        </row>
        <row r="43">
          <cell r="B43">
            <v>23000</v>
          </cell>
          <cell r="C43">
            <v>62722</v>
          </cell>
          <cell r="D43">
            <v>103834.52499999999</v>
          </cell>
          <cell r="G43">
            <v>53019.646500000003</v>
          </cell>
        </row>
        <row r="44">
          <cell r="B44">
            <v>26762.028999999999</v>
          </cell>
          <cell r="C44">
            <v>33321.484129999997</v>
          </cell>
          <cell r="D44">
            <v>24395.000240000001</v>
          </cell>
          <cell r="G44">
            <v>28242.711019999999</v>
          </cell>
        </row>
        <row r="45">
          <cell r="B45">
            <v>132</v>
          </cell>
          <cell r="C45">
            <v>129.14274</v>
          </cell>
          <cell r="D45">
            <v>15.846579999999999</v>
          </cell>
          <cell r="G45">
            <v>37.385689999999997</v>
          </cell>
        </row>
        <row r="47">
          <cell r="B47">
            <v>116854.2</v>
          </cell>
          <cell r="C47">
            <v>213974.01063999999</v>
          </cell>
          <cell r="D47">
            <v>212336.64358999999</v>
          </cell>
          <cell r="G47">
            <v>164106.55476</v>
          </cell>
        </row>
        <row r="48">
          <cell r="B48">
            <v>433</v>
          </cell>
          <cell r="C48">
            <v>19800.360939999999</v>
          </cell>
          <cell r="D48">
            <v>36892.50099</v>
          </cell>
          <cell r="G48">
            <v>25000.161270000001</v>
          </cell>
        </row>
        <row r="49">
          <cell r="B49">
            <v>14400</v>
          </cell>
          <cell r="C49">
            <v>33579.059000000001</v>
          </cell>
          <cell r="D49">
            <v>28671.280480000001</v>
          </cell>
          <cell r="G49">
            <v>21119.634429999998</v>
          </cell>
        </row>
        <row r="50">
          <cell r="B50">
            <v>14833</v>
          </cell>
          <cell r="C50">
            <v>53379.41994</v>
          </cell>
          <cell r="D50">
            <v>65563.781470000002</v>
          </cell>
          <cell r="G50">
            <v>46119.795700000002</v>
          </cell>
        </row>
        <row r="51">
          <cell r="B51">
            <v>2057.8000000000002</v>
          </cell>
          <cell r="C51">
            <v>3509.74955</v>
          </cell>
          <cell r="D51">
            <v>3471.6540599999998</v>
          </cell>
          <cell r="G51">
            <v>2256.0142999999998</v>
          </cell>
        </row>
        <row r="52">
          <cell r="B52">
            <v>210074</v>
          </cell>
          <cell r="C52">
            <v>394234.65227000002</v>
          </cell>
          <cell r="D52">
            <v>386219.29470999999</v>
          </cell>
          <cell r="G52">
            <v>375740.73783</v>
          </cell>
        </row>
        <row r="56">
          <cell r="B56">
            <v>212131.8</v>
          </cell>
          <cell r="C56">
            <v>397744.40182000003</v>
          </cell>
          <cell r="D56">
            <v>389690.94877000002</v>
          </cell>
          <cell r="G56">
            <v>377996.75212999998</v>
          </cell>
        </row>
        <row r="68">
          <cell r="B68">
            <v>343819</v>
          </cell>
          <cell r="C68">
            <v>665097.83239999996</v>
          </cell>
          <cell r="D68">
            <v>667591.37383000006</v>
          </cell>
          <cell r="G68">
            <v>588223.10259000002</v>
          </cell>
        </row>
        <row r="69">
          <cell r="B69">
            <v>555104</v>
          </cell>
          <cell r="C69">
            <v>216402.16759999999</v>
          </cell>
          <cell r="D69">
            <v>200966.26366999999</v>
          </cell>
          <cell r="G69">
            <v>115537.61844000001</v>
          </cell>
        </row>
        <row r="70">
          <cell r="B70">
            <v>1077</v>
          </cell>
          <cell r="C70">
            <v>18500</v>
          </cell>
          <cell r="D70">
            <v>26855.411769999999</v>
          </cell>
          <cell r="G70">
            <v>32723.52017</v>
          </cell>
        </row>
        <row r="71">
          <cell r="B71">
            <v>556181</v>
          </cell>
          <cell r="C71">
            <v>234902.16759999999</v>
          </cell>
          <cell r="D71">
            <v>227821.67543999999</v>
          </cell>
          <cell r="G71">
            <v>148261.13860999999</v>
          </cell>
        </row>
        <row r="74">
          <cell r="B74">
            <v>556181</v>
          </cell>
          <cell r="C74">
            <v>234902.16759999999</v>
          </cell>
          <cell r="D74">
            <v>227821.67543999999</v>
          </cell>
          <cell r="G74">
            <v>148261.13860999999</v>
          </cell>
        </row>
        <row r="75">
          <cell r="B75">
            <v>45924.07</v>
          </cell>
          <cell r="C75">
            <v>736581.15833999997</v>
          </cell>
          <cell r="D75">
            <v>400353.77740000002</v>
          </cell>
          <cell r="G75">
            <v>692533.68917999999</v>
          </cell>
        </row>
        <row r="76">
          <cell r="B76">
            <v>45924.07</v>
          </cell>
          <cell r="C76">
            <v>736581.15833999997</v>
          </cell>
          <cell r="D76">
            <v>400353.77740000002</v>
          </cell>
          <cell r="G76">
            <v>692533.68917999999</v>
          </cell>
        </row>
        <row r="77">
          <cell r="D77">
            <v>51798.116049999997</v>
          </cell>
          <cell r="G77">
            <v>49515.64183</v>
          </cell>
        </row>
        <row r="78">
          <cell r="D78">
            <v>263661.22577999998</v>
          </cell>
          <cell r="G78">
            <v>36947.787380000002</v>
          </cell>
        </row>
        <row r="79">
          <cell r="B79">
            <v>226356.13500000001</v>
          </cell>
          <cell r="C79">
            <v>226356.13500000001</v>
          </cell>
          <cell r="D79">
            <v>14810.638370000001</v>
          </cell>
          <cell r="G79">
            <v>106922.80442</v>
          </cell>
        </row>
        <row r="80">
          <cell r="B80">
            <v>226356.13500000001</v>
          </cell>
          <cell r="C80">
            <v>226356.13500000001</v>
          </cell>
          <cell r="D80">
            <v>13658.97148</v>
          </cell>
          <cell r="G80">
            <v>75570.775680000006</v>
          </cell>
        </row>
        <row r="82">
          <cell r="B82">
            <v>272280.20500000002</v>
          </cell>
          <cell r="C82">
            <v>962937.29333999997</v>
          </cell>
          <cell r="D82">
            <v>730623.75760000001</v>
          </cell>
          <cell r="G82">
            <v>885919.92281000002</v>
          </cell>
        </row>
        <row r="83">
          <cell r="B83">
            <v>311686.25199999998</v>
          </cell>
          <cell r="C83">
            <v>3223028.6336599998</v>
          </cell>
          <cell r="D83">
            <v>896661.18437000003</v>
          </cell>
          <cell r="G83">
            <v>1712513.32837</v>
          </cell>
        </row>
        <row r="84">
          <cell r="B84">
            <v>311686.25199999998</v>
          </cell>
          <cell r="C84">
            <v>3223028.6336599998</v>
          </cell>
          <cell r="D84">
            <v>896661.18437000003</v>
          </cell>
          <cell r="G84">
            <v>1712513.32837</v>
          </cell>
        </row>
        <row r="85">
          <cell r="D85">
            <v>75363.00705</v>
          </cell>
          <cell r="G85">
            <v>99173.06624</v>
          </cell>
        </row>
        <row r="86">
          <cell r="B86">
            <v>200000</v>
          </cell>
          <cell r="C86">
            <v>200000</v>
          </cell>
          <cell r="D86">
            <v>7301.7207799999996</v>
          </cell>
          <cell r="G86">
            <v>3478.26325</v>
          </cell>
        </row>
        <row r="87">
          <cell r="B87">
            <v>200000</v>
          </cell>
          <cell r="C87">
            <v>200000</v>
          </cell>
          <cell r="D87">
            <v>7301.7207799999996</v>
          </cell>
          <cell r="G87">
            <v>3478.26325</v>
          </cell>
        </row>
        <row r="89">
          <cell r="B89">
            <v>511686.25199999998</v>
          </cell>
          <cell r="C89">
            <v>3423028.6336599998</v>
          </cell>
          <cell r="D89">
            <v>979325.91220000002</v>
          </cell>
          <cell r="G89">
            <v>1815164.6578599999</v>
          </cell>
        </row>
        <row r="90">
          <cell r="B90">
            <v>783966.45700000005</v>
          </cell>
          <cell r="C90">
            <v>4385965.9270000001</v>
          </cell>
          <cell r="D90">
            <v>1709949.6698</v>
          </cell>
          <cell r="G90">
            <v>2701084.5806700001</v>
          </cell>
        </row>
        <row r="91">
          <cell r="B91">
            <v>7904049.2910000002</v>
          </cell>
          <cell r="C91">
            <v>11506048.761</v>
          </cell>
          <cell r="D91">
            <v>8796786.8923000004</v>
          </cell>
          <cell r="G91">
            <v>9276232.5473500006</v>
          </cell>
        </row>
        <row r="92">
          <cell r="B92">
            <v>0</v>
          </cell>
          <cell r="C92">
            <v>0</v>
          </cell>
          <cell r="D92">
            <v>0</v>
          </cell>
          <cell r="G92">
            <v>0</v>
          </cell>
        </row>
        <row r="93">
          <cell r="B93">
            <v>7904049.2910000002</v>
          </cell>
          <cell r="C93">
            <v>11506048.761</v>
          </cell>
          <cell r="D93">
            <v>8796786.8923000004</v>
          </cell>
          <cell r="G93">
            <v>9276232.5473500006</v>
          </cell>
        </row>
        <row r="94">
          <cell r="B94">
            <v>0</v>
          </cell>
          <cell r="C94">
            <v>0</v>
          </cell>
          <cell r="D94">
            <v>0</v>
          </cell>
          <cell r="G94">
            <v>0</v>
          </cell>
        </row>
        <row r="95">
          <cell r="B95">
            <v>24157606.127999999</v>
          </cell>
          <cell r="C95">
            <v>24672824.500999998</v>
          </cell>
          <cell r="D95">
            <v>24850580.439010002</v>
          </cell>
          <cell r="G95">
            <v>23320646.280850001</v>
          </cell>
        </row>
        <row r="96">
          <cell r="B96">
            <v>3848678.13</v>
          </cell>
          <cell r="C96">
            <v>4116033.0389999999</v>
          </cell>
          <cell r="D96">
            <v>4325556.3772600004</v>
          </cell>
          <cell r="G96">
            <v>4254551.3313100003</v>
          </cell>
        </row>
        <row r="97">
          <cell r="B97">
            <v>19842087.370000001</v>
          </cell>
          <cell r="C97">
            <v>20178431.583000001</v>
          </cell>
          <cell r="D97">
            <v>20205867.055429999</v>
          </cell>
          <cell r="G97">
            <v>19066094.94954</v>
          </cell>
        </row>
        <row r="98">
          <cell r="B98">
            <v>466840.62800000003</v>
          </cell>
          <cell r="C98">
            <v>377518.67700000003</v>
          </cell>
          <cell r="D98">
            <v>318489.86232000001</v>
          </cell>
        </row>
        <row r="100">
          <cell r="B100">
            <v>0</v>
          </cell>
          <cell r="C100">
            <v>841.202</v>
          </cell>
          <cell r="D100">
            <v>667.14400000000001</v>
          </cell>
        </row>
        <row r="101">
          <cell r="B101">
            <v>282229.41600000003</v>
          </cell>
          <cell r="C101">
            <v>304438.51500000001</v>
          </cell>
          <cell r="D101">
            <v>311871.22143999999</v>
          </cell>
          <cell r="G101">
            <v>288887.14908</v>
          </cell>
        </row>
        <row r="102">
          <cell r="B102">
            <v>115209.724</v>
          </cell>
          <cell r="C102">
            <v>125769.47199999999</v>
          </cell>
          <cell r="D102">
            <v>135005.378</v>
          </cell>
          <cell r="G102">
            <v>119870.226</v>
          </cell>
        </row>
        <row r="103">
          <cell r="B103">
            <v>1292.8</v>
          </cell>
          <cell r="C103">
            <v>1292.8</v>
          </cell>
          <cell r="D103">
            <v>1405.2</v>
          </cell>
          <cell r="G103">
            <v>1182.9169999999999</v>
          </cell>
        </row>
        <row r="105">
          <cell r="B105">
            <v>46462.127</v>
          </cell>
          <cell r="C105">
            <v>15473.6</v>
          </cell>
          <cell r="D105">
            <v>13906.870999999999</v>
          </cell>
          <cell r="G105">
            <v>11461.175999999999</v>
          </cell>
        </row>
        <row r="109">
          <cell r="B109">
            <v>119264.765</v>
          </cell>
          <cell r="C109">
            <v>161902.64300000001</v>
          </cell>
          <cell r="D109">
            <v>161553.77244</v>
          </cell>
          <cell r="G109">
            <v>156372.83008000001</v>
          </cell>
        </row>
        <row r="110">
          <cell r="B110">
            <v>8246760.9419999998</v>
          </cell>
          <cell r="C110">
            <v>8406994.2630000003</v>
          </cell>
          <cell r="D110">
            <v>8354290.0633199997</v>
          </cell>
          <cell r="G110">
            <v>7838096.1040899996</v>
          </cell>
        </row>
        <row r="111">
          <cell r="B111">
            <v>8246760.9419999998</v>
          </cell>
          <cell r="C111">
            <v>8406994.2630000003</v>
          </cell>
          <cell r="D111">
            <v>8354290.0633199997</v>
          </cell>
          <cell r="G111">
            <v>7838096.1040899996</v>
          </cell>
        </row>
        <row r="112">
          <cell r="B112">
            <v>3146</v>
          </cell>
          <cell r="C112">
            <v>11205.47595</v>
          </cell>
          <cell r="D112">
            <v>11544.495489999999</v>
          </cell>
          <cell r="G112">
            <v>90687.105129999996</v>
          </cell>
        </row>
        <row r="113">
          <cell r="B113">
            <v>0</v>
          </cell>
          <cell r="C113">
            <v>4336.0190000000002</v>
          </cell>
          <cell r="D113">
            <v>4336.0190000000002</v>
          </cell>
          <cell r="G113">
            <v>9543.2049999999999</v>
          </cell>
        </row>
        <row r="114">
          <cell r="B114">
            <v>32689742.486000001</v>
          </cell>
          <cell r="C114">
            <v>33399798.773949999</v>
          </cell>
          <cell r="D114">
            <v>33532622.238260001</v>
          </cell>
          <cell r="G114">
            <v>31547859.844149999</v>
          </cell>
        </row>
        <row r="115">
          <cell r="B115">
            <v>1354902.8810000001</v>
          </cell>
          <cell r="C115">
            <v>2140375.5184999998</v>
          </cell>
          <cell r="D115">
            <v>2466993.9961100002</v>
          </cell>
          <cell r="G115">
            <v>1957842.27299</v>
          </cell>
        </row>
        <row r="116">
          <cell r="B116">
            <v>1050.1880000000001</v>
          </cell>
          <cell r="C116">
            <v>2466.4180999999999</v>
          </cell>
          <cell r="D116">
            <v>2356.5308500000001</v>
          </cell>
          <cell r="G116">
            <v>1114.45021</v>
          </cell>
        </row>
        <row r="117">
          <cell r="B117">
            <v>1717083.6340000001</v>
          </cell>
          <cell r="C117">
            <v>1344244.19726</v>
          </cell>
          <cell r="D117">
            <v>1622914.0822399999</v>
          </cell>
          <cell r="G117">
            <v>1740580.05779</v>
          </cell>
        </row>
        <row r="118">
          <cell r="B118">
            <v>5194196.7929999996</v>
          </cell>
          <cell r="C118">
            <v>5531253.6187699996</v>
          </cell>
          <cell r="D118">
            <v>5425483.4721799996</v>
          </cell>
          <cell r="G118">
            <v>5724225.2172499998</v>
          </cell>
        </row>
        <row r="119">
          <cell r="B119">
            <v>1250237.882</v>
          </cell>
          <cell r="C119">
            <v>1117562.96954</v>
          </cell>
          <cell r="D119">
            <v>1199085.6563800001</v>
          </cell>
          <cell r="G119">
            <v>1174762.2491599999</v>
          </cell>
        </row>
        <row r="120">
          <cell r="B120">
            <v>787525.424</v>
          </cell>
          <cell r="C120">
            <v>468530.97412999999</v>
          </cell>
          <cell r="D120">
            <v>546764.54902000003</v>
          </cell>
          <cell r="G120">
            <v>683257.42379000003</v>
          </cell>
        </row>
        <row r="121">
          <cell r="B121">
            <v>186698.647</v>
          </cell>
          <cell r="C121">
            <v>257492.51314</v>
          </cell>
          <cell r="D121">
            <v>247716.74502999999</v>
          </cell>
          <cell r="G121">
            <v>212139.70227000001</v>
          </cell>
        </row>
        <row r="122">
          <cell r="B122">
            <v>250</v>
          </cell>
          <cell r="C122">
            <v>333.99265000000003</v>
          </cell>
          <cell r="D122">
            <v>23.992650000000001</v>
          </cell>
          <cell r="G122">
            <v>9.5581999999999994</v>
          </cell>
        </row>
        <row r="123">
          <cell r="B123">
            <v>232092.715</v>
          </cell>
          <cell r="C123">
            <v>503737.64656999998</v>
          </cell>
          <cell r="D123">
            <v>546035.17775000003</v>
          </cell>
          <cell r="G123">
            <v>244562.83343999999</v>
          </cell>
        </row>
        <row r="124">
          <cell r="B124">
            <v>9749814.0930000003</v>
          </cell>
          <cell r="C124">
            <v>10639974.36139</v>
          </cell>
          <cell r="D124">
            <v>11262892.908159999</v>
          </cell>
          <cell r="G124">
            <v>10843096.639040001</v>
          </cell>
        </row>
        <row r="125">
          <cell r="B125">
            <v>116808</v>
          </cell>
          <cell r="C125">
            <v>96286.173999999999</v>
          </cell>
          <cell r="D125">
            <v>117360.992</v>
          </cell>
          <cell r="G125">
            <v>194060.98209999999</v>
          </cell>
        </row>
        <row r="126">
          <cell r="B126">
            <v>46033</v>
          </cell>
          <cell r="C126">
            <v>75014.353000000003</v>
          </cell>
          <cell r="D126">
            <v>135542.47863</v>
          </cell>
          <cell r="G126">
            <v>139538.87536999999</v>
          </cell>
        </row>
        <row r="127">
          <cell r="B127">
            <v>32867</v>
          </cell>
          <cell r="C127">
            <v>44705.978999999999</v>
          </cell>
          <cell r="D127">
            <v>53060.177799999998</v>
          </cell>
          <cell r="G127">
            <v>69991.206810000003</v>
          </cell>
        </row>
        <row r="128">
          <cell r="B128">
            <v>0</v>
          </cell>
          <cell r="C128">
            <v>6282.8389999999999</v>
          </cell>
          <cell r="D128">
            <v>46496.18318</v>
          </cell>
          <cell r="G128">
            <v>27118.85254</v>
          </cell>
        </row>
        <row r="130">
          <cell r="B130">
            <v>200</v>
          </cell>
          <cell r="C130">
            <v>0</v>
          </cell>
          <cell r="G130">
            <v>15</v>
          </cell>
        </row>
        <row r="132">
          <cell r="B132">
            <v>163041</v>
          </cell>
          <cell r="C132">
            <v>171300.527</v>
          </cell>
          <cell r="D132">
            <v>252903.47063</v>
          </cell>
          <cell r="G132">
            <v>333614.85746999999</v>
          </cell>
        </row>
        <row r="133">
          <cell r="B133">
            <v>0</v>
          </cell>
          <cell r="C133">
            <v>0</v>
          </cell>
          <cell r="D133">
            <v>6281.1810699999996</v>
          </cell>
          <cell r="G133">
            <v>15715.77923</v>
          </cell>
        </row>
        <row r="134">
          <cell r="B134">
            <v>0</v>
          </cell>
          <cell r="C134">
            <v>0</v>
          </cell>
          <cell r="D134">
            <v>6281.1810699999996</v>
          </cell>
          <cell r="G134">
            <v>15715.77923</v>
          </cell>
        </row>
        <row r="137">
          <cell r="B137">
            <v>116966.505</v>
          </cell>
          <cell r="C137">
            <v>128912.887</v>
          </cell>
          <cell r="D137">
            <v>178044.67585999999</v>
          </cell>
          <cell r="G137">
            <v>298029.03622000001</v>
          </cell>
        </row>
        <row r="138">
          <cell r="B138">
            <v>47657.345000000001</v>
          </cell>
          <cell r="C138">
            <v>58484.426509999998</v>
          </cell>
          <cell r="D138">
            <v>106634.65411</v>
          </cell>
          <cell r="G138">
            <v>190064.74197999999</v>
          </cell>
        </row>
        <row r="140">
          <cell r="B140">
            <v>69309.16</v>
          </cell>
          <cell r="C140">
            <v>70428.460489999998</v>
          </cell>
          <cell r="D140">
            <v>71410.02175</v>
          </cell>
          <cell r="G140">
            <v>107964.29424</v>
          </cell>
        </row>
        <row r="141">
          <cell r="B141">
            <v>0</v>
          </cell>
          <cell r="C141">
            <v>0</v>
          </cell>
        </row>
        <row r="144">
          <cell r="B144">
            <v>814018.81299999997</v>
          </cell>
          <cell r="C144">
            <v>989484.63899999997</v>
          </cell>
          <cell r="D144">
            <v>1047797.38159</v>
          </cell>
          <cell r="G144">
            <v>1077595.01886</v>
          </cell>
        </row>
        <row r="145">
          <cell r="B145">
            <v>241575.56299999999</v>
          </cell>
          <cell r="C145">
            <v>246790.86356</v>
          </cell>
          <cell r="D145">
            <v>281233.70342999999</v>
          </cell>
          <cell r="G145">
            <v>233257.0981</v>
          </cell>
        </row>
        <row r="146">
          <cell r="B146">
            <v>241575.56299999999</v>
          </cell>
          <cell r="C146">
            <v>246727.59400000001</v>
          </cell>
          <cell r="D146">
            <v>248613.08798000001</v>
          </cell>
          <cell r="G146">
            <v>233256.76246999999</v>
          </cell>
        </row>
        <row r="147">
          <cell r="B147">
            <v>0</v>
          </cell>
          <cell r="C147">
            <v>0</v>
          </cell>
          <cell r="D147">
            <v>32557.346389999999</v>
          </cell>
        </row>
        <row r="148">
          <cell r="B148">
            <v>8330.9560000000001</v>
          </cell>
          <cell r="C148">
            <v>16952.156719999999</v>
          </cell>
          <cell r="D148">
            <v>16207.28745</v>
          </cell>
          <cell r="G148">
            <v>17620.703140000001</v>
          </cell>
        </row>
        <row r="149">
          <cell r="B149">
            <v>1180891.8370000001</v>
          </cell>
          <cell r="C149">
            <v>1382140.5462799999</v>
          </cell>
          <cell r="D149">
            <v>1529564.2294000001</v>
          </cell>
          <cell r="G149">
            <v>1642217.63555</v>
          </cell>
        </row>
        <row r="150">
          <cell r="B150">
            <v>9437126</v>
          </cell>
          <cell r="C150">
            <v>9055426.9350000005</v>
          </cell>
          <cell r="D150">
            <v>8762334.9617100004</v>
          </cell>
          <cell r="G150">
            <v>8597824.6941500008</v>
          </cell>
        </row>
        <row r="151">
          <cell r="B151">
            <v>44036.182000000001</v>
          </cell>
          <cell r="C151">
            <v>56129.72352</v>
          </cell>
          <cell r="D151">
            <v>70013.419970000003</v>
          </cell>
          <cell r="G151">
            <v>82205.019140000004</v>
          </cell>
        </row>
        <row r="152">
          <cell r="B152">
            <v>9193</v>
          </cell>
          <cell r="C152">
            <v>15208.933999999999</v>
          </cell>
          <cell r="D152">
            <v>14658.32098</v>
          </cell>
          <cell r="G152">
            <v>8225.4042599999993</v>
          </cell>
        </row>
        <row r="153">
          <cell r="B153">
            <v>9490355.182</v>
          </cell>
          <cell r="C153">
            <v>9126765.5925200004</v>
          </cell>
          <cell r="D153">
            <v>8847006.70266</v>
          </cell>
          <cell r="G153">
            <v>8688255.1175500005</v>
          </cell>
        </row>
        <row r="154">
          <cell r="B154">
            <v>9154</v>
          </cell>
          <cell r="C154">
            <v>12496.796780000001</v>
          </cell>
          <cell r="D154">
            <v>13968.58763</v>
          </cell>
          <cell r="G154">
            <v>15010.790370000001</v>
          </cell>
        </row>
        <row r="157">
          <cell r="B157">
            <v>0</v>
          </cell>
          <cell r="C157">
            <v>0</v>
          </cell>
        </row>
        <row r="158">
          <cell r="B158">
            <v>0</v>
          </cell>
          <cell r="C158">
            <v>100000</v>
          </cell>
          <cell r="D158">
            <v>100000</v>
          </cell>
        </row>
        <row r="159">
          <cell r="B159">
            <v>9154</v>
          </cell>
          <cell r="C159">
            <v>112496.79678</v>
          </cell>
          <cell r="D159">
            <v>113968.58762999999</v>
          </cell>
          <cell r="G159">
            <v>15010.790370000001</v>
          </cell>
        </row>
        <row r="177">
          <cell r="B177">
            <v>41914.379999999997</v>
          </cell>
          <cell r="C177">
            <v>85337.539220000006</v>
          </cell>
          <cell r="D177">
            <v>70029.884579999998</v>
          </cell>
          <cell r="G177">
            <v>127387.40598</v>
          </cell>
        </row>
        <row r="178">
          <cell r="B178">
            <v>41914.379999999997</v>
          </cell>
          <cell r="C178">
            <v>85337.539220000006</v>
          </cell>
          <cell r="D178">
            <v>70029.884579999998</v>
          </cell>
          <cell r="G178">
            <v>127387.40598</v>
          </cell>
        </row>
        <row r="179">
          <cell r="B179">
            <v>53324912.978</v>
          </cell>
          <cell r="C179">
            <v>54917814.137139998</v>
          </cell>
          <cell r="D179">
            <v>55608988.02132</v>
          </cell>
          <cell r="G179">
            <v>53197442.290109999</v>
          </cell>
        </row>
        <row r="180">
          <cell r="B180">
            <v>184788.079</v>
          </cell>
          <cell r="C180">
            <v>491972.43930000003</v>
          </cell>
          <cell r="D180">
            <v>776276.71406000003</v>
          </cell>
          <cell r="G180">
            <v>398017.00903999998</v>
          </cell>
        </row>
        <row r="181">
          <cell r="B181">
            <v>1293180.6040000001</v>
          </cell>
          <cell r="C181">
            <v>4642840.4110000003</v>
          </cell>
          <cell r="D181">
            <v>6330509.8414099999</v>
          </cell>
          <cell r="G181">
            <v>2167398.6505700001</v>
          </cell>
        </row>
        <row r="182">
          <cell r="B182">
            <v>0</v>
          </cell>
          <cell r="C182">
            <v>30666.041450000001</v>
          </cell>
          <cell r="D182">
            <v>30802.4395</v>
          </cell>
          <cell r="G182">
            <v>911.02</v>
          </cell>
        </row>
        <row r="183">
          <cell r="B183">
            <v>1477968.683</v>
          </cell>
          <cell r="C183">
            <v>5165478.8917500004</v>
          </cell>
          <cell r="D183">
            <v>7137588.9949700003</v>
          </cell>
          <cell r="G183">
            <v>2566326.67961</v>
          </cell>
        </row>
        <row r="190">
          <cell r="B190">
            <v>65000</v>
          </cell>
          <cell r="C190">
            <v>47834</v>
          </cell>
          <cell r="D190">
            <v>111987.54416</v>
          </cell>
          <cell r="G190">
            <v>25370.474450000002</v>
          </cell>
        </row>
        <row r="191">
          <cell r="B191">
            <v>20000</v>
          </cell>
          <cell r="C191">
            <v>17834</v>
          </cell>
          <cell r="D191">
            <v>81987.544160000005</v>
          </cell>
          <cell r="G191">
            <v>23820.07445</v>
          </cell>
        </row>
        <row r="192">
          <cell r="B192">
            <v>45000</v>
          </cell>
          <cell r="C192">
            <v>30000</v>
          </cell>
          <cell r="D192">
            <v>30000</v>
          </cell>
          <cell r="G192">
            <v>1550.4</v>
          </cell>
        </row>
        <row r="197">
          <cell r="B197">
            <v>4100</v>
          </cell>
          <cell r="C197">
            <v>19700</v>
          </cell>
          <cell r="D197">
            <v>12561.663989999999</v>
          </cell>
          <cell r="G197">
            <v>4093.83</v>
          </cell>
        </row>
        <row r="201">
          <cell r="B201">
            <v>69100</v>
          </cell>
          <cell r="C201">
            <v>67534</v>
          </cell>
          <cell r="D201">
            <v>124549.20815000001</v>
          </cell>
          <cell r="G201">
            <v>29464.30445</v>
          </cell>
        </row>
        <row r="218">
          <cell r="B218">
            <v>200000</v>
          </cell>
          <cell r="C218">
            <v>295695.64610999997</v>
          </cell>
          <cell r="D218">
            <v>16370.941339999999</v>
          </cell>
        </row>
        <row r="219">
          <cell r="B219">
            <v>200000</v>
          </cell>
          <cell r="C219">
            <v>295695.64610999997</v>
          </cell>
          <cell r="D219">
            <v>16370.941339999999</v>
          </cell>
        </row>
        <row r="220">
          <cell r="B220">
            <v>1747068.683</v>
          </cell>
          <cell r="C220">
            <v>5528708.5378599996</v>
          </cell>
          <cell r="D220">
            <v>7278509.1444600001</v>
          </cell>
          <cell r="G220">
            <v>2595790.9840600002</v>
          </cell>
        </row>
        <row r="221">
          <cell r="B221">
            <v>55071981.660999998</v>
          </cell>
          <cell r="C221">
            <v>60446522.674999997</v>
          </cell>
          <cell r="D221">
            <v>62887497.16578</v>
          </cell>
          <cell r="G221">
            <v>55793233.274169996</v>
          </cell>
        </row>
        <row r="222">
          <cell r="B222">
            <v>-47167932.369999997</v>
          </cell>
          <cell r="C222">
            <v>-48940473.913999997</v>
          </cell>
          <cell r="D222">
            <v>-54090710.273479998</v>
          </cell>
          <cell r="G222">
            <v>-46517000.72682</v>
          </cell>
        </row>
        <row r="223">
          <cell r="B223">
            <v>0</v>
          </cell>
          <cell r="C223">
            <v>0</v>
          </cell>
          <cell r="D223">
            <v>0</v>
          </cell>
          <cell r="G223">
            <v>0</v>
          </cell>
        </row>
        <row r="224">
          <cell r="B224">
            <v>55071981.660999998</v>
          </cell>
          <cell r="C224">
            <v>60446522.674999997</v>
          </cell>
          <cell r="D224">
            <v>62887497.16578</v>
          </cell>
          <cell r="F224" t="str">
            <v>Kontrolní součet (seskupení položek)</v>
          </cell>
          <cell r="G224">
            <v>55793233.274169996</v>
          </cell>
        </row>
        <row r="225">
          <cell r="B225">
            <v>0</v>
          </cell>
          <cell r="C225">
            <v>0</v>
          </cell>
          <cell r="D225">
            <v>0</v>
          </cell>
          <cell r="G225">
            <v>0</v>
          </cell>
        </row>
        <row r="226">
          <cell r="B226">
            <v>0</v>
          </cell>
          <cell r="C226">
            <v>0</v>
          </cell>
          <cell r="D226">
            <v>0</v>
          </cell>
          <cell r="F226" t="str">
            <v>FINANCOVÁNÍ</v>
          </cell>
          <cell r="G226">
            <v>0</v>
          </cell>
        </row>
        <row r="227">
          <cell r="F227" t="str">
            <v>Krátkodobé vydané dluhopisy</v>
          </cell>
        </row>
        <row r="284">
          <cell r="B284">
            <v>-47167932.369999997</v>
          </cell>
          <cell r="C284">
            <v>-48940473.913999997</v>
          </cell>
          <cell r="D284">
            <v>-54090710.273479998</v>
          </cell>
          <cell r="G284">
            <v>-46517000.72682</v>
          </cell>
        </row>
      </sheetData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lkem kapitola"/>
      <sheetName val="PČR"/>
      <sheetName val="HZS ČR"/>
      <sheetName val="sportovní reprezentace"/>
      <sheetName val="výdaje mv+oOSS"/>
      <sheetName val="LRZ"/>
    </sheetNames>
    <sheetDataSet>
      <sheetData sheetId="0"/>
      <sheetData sheetId="1"/>
      <sheetData sheetId="2"/>
      <sheetData sheetId="3"/>
      <sheetData sheetId="4"/>
      <sheetData sheetId="5">
        <row r="7">
          <cell r="J7">
            <v>27281968.440000001</v>
          </cell>
        </row>
        <row r="8">
          <cell r="I8">
            <v>164342179.56</v>
          </cell>
        </row>
        <row r="9">
          <cell r="I9">
            <v>6530342.6500000004</v>
          </cell>
        </row>
        <row r="10">
          <cell r="I10">
            <v>5545301.6299999999</v>
          </cell>
        </row>
        <row r="13">
          <cell r="J13">
            <v>815583</v>
          </cell>
        </row>
        <row r="14">
          <cell r="I14">
            <v>4875757.9800000004</v>
          </cell>
        </row>
        <row r="15">
          <cell r="I15">
            <v>2010000</v>
          </cell>
        </row>
        <row r="17">
          <cell r="J17">
            <v>464772</v>
          </cell>
        </row>
        <row r="18">
          <cell r="I18">
            <v>77803446.859999999</v>
          </cell>
        </row>
        <row r="19">
          <cell r="I19">
            <v>1813398</v>
          </cell>
        </row>
        <row r="21">
          <cell r="J21">
            <v>267430</v>
          </cell>
        </row>
        <row r="22">
          <cell r="I22">
            <v>8137959.3700000001</v>
          </cell>
        </row>
        <row r="23">
          <cell r="I23">
            <v>25040829.600000001</v>
          </cell>
        </row>
        <row r="25">
          <cell r="J25">
            <v>2350621</v>
          </cell>
        </row>
        <row r="26">
          <cell r="I26">
            <v>11043603.199999999</v>
          </cell>
        </row>
        <row r="27">
          <cell r="I27">
            <v>448156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lkem kapitola"/>
      <sheetName val="PČR"/>
      <sheetName val="HZS ČR"/>
      <sheetName val="sportovní reprezentace"/>
      <sheetName val="výdaje mv+oOSS"/>
      <sheetName val="LRZ"/>
    </sheetNames>
    <sheetDataSet>
      <sheetData sheetId="0" refreshError="1"/>
      <sheetData sheetId="1" refreshError="1">
        <row r="40">
          <cell r="E40">
            <v>4660</v>
          </cell>
        </row>
        <row r="41">
          <cell r="E41">
            <v>1473</v>
          </cell>
        </row>
        <row r="62">
          <cell r="E62">
            <v>34715</v>
          </cell>
        </row>
        <row r="63">
          <cell r="E63">
            <v>7657</v>
          </cell>
        </row>
      </sheetData>
      <sheetData sheetId="2" refreshError="1">
        <row r="31">
          <cell r="E31">
            <v>66407221</v>
          </cell>
        </row>
        <row r="40">
          <cell r="E40">
            <v>123</v>
          </cell>
        </row>
        <row r="41">
          <cell r="E41">
            <v>105</v>
          </cell>
        </row>
        <row r="53">
          <cell r="E53">
            <v>48427246</v>
          </cell>
        </row>
        <row r="62">
          <cell r="E62">
            <v>104</v>
          </cell>
        </row>
        <row r="63">
          <cell r="E63">
            <v>248</v>
          </cell>
        </row>
        <row r="84">
          <cell r="E84">
            <v>9073</v>
          </cell>
        </row>
        <row r="85">
          <cell r="E85">
            <v>607</v>
          </cell>
        </row>
        <row r="97">
          <cell r="E97">
            <v>8438411</v>
          </cell>
        </row>
        <row r="106">
          <cell r="E106">
            <v>19</v>
          </cell>
        </row>
        <row r="107">
          <cell r="E107">
            <v>19</v>
          </cell>
        </row>
      </sheetData>
      <sheetData sheetId="3" refreshError="1">
        <row r="19">
          <cell r="E19">
            <v>301</v>
          </cell>
        </row>
      </sheetData>
      <sheetData sheetId="4" refreshError="1">
        <row r="42">
          <cell r="E42">
            <v>1892</v>
          </cell>
        </row>
        <row r="43">
          <cell r="E43">
            <v>444</v>
          </cell>
        </row>
        <row r="64">
          <cell r="E64">
            <v>27</v>
          </cell>
        </row>
        <row r="65">
          <cell r="E65">
            <v>11</v>
          </cell>
        </row>
        <row r="86">
          <cell r="E86">
            <v>123</v>
          </cell>
        </row>
        <row r="87">
          <cell r="E87">
            <v>25</v>
          </cell>
        </row>
        <row r="108">
          <cell r="E108">
            <v>102</v>
          </cell>
        </row>
        <row r="109">
          <cell r="E109">
            <v>36</v>
          </cell>
        </row>
        <row r="130">
          <cell r="E130">
            <v>76</v>
          </cell>
        </row>
        <row r="131">
          <cell r="E131">
            <v>29</v>
          </cell>
        </row>
        <row r="152">
          <cell r="E152">
            <v>92</v>
          </cell>
        </row>
        <row r="153">
          <cell r="E153">
            <v>28</v>
          </cell>
        </row>
        <row r="174">
          <cell r="E174">
            <v>75</v>
          </cell>
        </row>
        <row r="175">
          <cell r="E175">
            <v>29</v>
          </cell>
        </row>
        <row r="196">
          <cell r="E196">
            <v>103</v>
          </cell>
        </row>
        <row r="197">
          <cell r="E197">
            <v>29</v>
          </cell>
        </row>
        <row r="218">
          <cell r="E218">
            <v>165</v>
          </cell>
        </row>
        <row r="219">
          <cell r="E219">
            <v>31</v>
          </cell>
        </row>
        <row r="240">
          <cell r="E240">
            <v>118</v>
          </cell>
        </row>
        <row r="241">
          <cell r="E241">
            <v>38</v>
          </cell>
        </row>
        <row r="261">
          <cell r="E261">
            <v>87</v>
          </cell>
        </row>
        <row r="262">
          <cell r="E262">
            <v>176</v>
          </cell>
        </row>
        <row r="283">
          <cell r="E283">
            <v>39</v>
          </cell>
        </row>
        <row r="284">
          <cell r="E284">
            <v>83</v>
          </cell>
        </row>
        <row r="305">
          <cell r="E305">
            <v>119</v>
          </cell>
        </row>
        <row r="306">
          <cell r="E306">
            <v>203</v>
          </cell>
        </row>
        <row r="327">
          <cell r="E327">
            <v>19</v>
          </cell>
        </row>
        <row r="328">
          <cell r="E328">
            <v>299</v>
          </cell>
        </row>
        <row r="350">
          <cell r="E350">
            <v>331</v>
          </cell>
        </row>
        <row r="372">
          <cell r="E372">
            <v>27</v>
          </cell>
        </row>
        <row r="395">
          <cell r="E395">
            <v>384</v>
          </cell>
        </row>
      </sheetData>
      <sheetData sheetId="5" refreshError="1">
        <row r="7">
          <cell r="F7">
            <v>111996073.44</v>
          </cell>
        </row>
        <row r="8">
          <cell r="E8">
            <v>1285924632.3800001</v>
          </cell>
        </row>
        <row r="9">
          <cell r="E9">
            <v>2403363122.7199998</v>
          </cell>
        </row>
        <row r="10">
          <cell r="E10">
            <v>224205882.88</v>
          </cell>
        </row>
        <row r="13">
          <cell r="F13">
            <v>14999154</v>
          </cell>
        </row>
        <row r="14">
          <cell r="E14">
            <v>252899287.52000001</v>
          </cell>
        </row>
        <row r="15">
          <cell r="E15">
            <v>94288879.439999998</v>
          </cell>
        </row>
        <row r="17">
          <cell r="F17">
            <v>100514632</v>
          </cell>
        </row>
        <row r="18">
          <cell r="E18">
            <v>1965529690.3099999</v>
          </cell>
        </row>
        <row r="19">
          <cell r="E19">
            <v>13791316902.309999</v>
          </cell>
        </row>
        <row r="21">
          <cell r="F21">
            <v>62448091</v>
          </cell>
        </row>
        <row r="22">
          <cell r="E22">
            <v>200324303.46000001</v>
          </cell>
        </row>
        <row r="23">
          <cell r="E23">
            <v>3873399245.4000001</v>
          </cell>
        </row>
        <row r="25">
          <cell r="F25">
            <v>21913271</v>
          </cell>
        </row>
        <row r="26">
          <cell r="E26">
            <v>620878463.59000003</v>
          </cell>
        </row>
        <row r="27">
          <cell r="E27">
            <v>137787785</v>
          </cell>
        </row>
        <row r="28">
          <cell r="E28">
            <v>667144</v>
          </cell>
        </row>
      </sheetData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5:I21"/>
  <sheetViews>
    <sheetView topLeftCell="A7" workbookViewId="0">
      <selection activeCell="E13" sqref="E13"/>
    </sheetView>
  </sheetViews>
  <sheetFormatPr defaultRowHeight="18"/>
  <cols>
    <col min="1" max="16384" width="9.140625" style="188"/>
  </cols>
  <sheetData>
    <row r="15" spans="1:9" ht="12.75" customHeight="1">
      <c r="A15" s="187"/>
      <c r="B15" s="187"/>
      <c r="C15" s="187"/>
      <c r="D15" s="187"/>
      <c r="E15" s="187"/>
      <c r="F15" s="187"/>
      <c r="G15" s="187"/>
      <c r="H15" s="187"/>
      <c r="I15" s="187"/>
    </row>
    <row r="16" spans="1:9">
      <c r="A16" s="1305" t="s">
        <v>138</v>
      </c>
      <c r="B16" s="1305"/>
      <c r="C16" s="1305"/>
      <c r="D16" s="1305"/>
      <c r="E16" s="1305"/>
      <c r="F16" s="1305"/>
      <c r="G16" s="1305"/>
      <c r="H16" s="1305"/>
      <c r="I16" s="1305"/>
    </row>
    <row r="17" spans="1:9" ht="12.75" customHeight="1">
      <c r="A17" s="187"/>
      <c r="B17" s="187"/>
      <c r="C17" s="187"/>
      <c r="D17" s="187"/>
      <c r="E17" s="187"/>
      <c r="F17" s="187"/>
      <c r="G17" s="187"/>
      <c r="H17" s="187"/>
      <c r="I17" s="187"/>
    </row>
    <row r="18" spans="1:9">
      <c r="A18" s="1305"/>
      <c r="B18" s="1305"/>
      <c r="C18" s="1305"/>
      <c r="D18" s="1305"/>
      <c r="E18" s="1305"/>
      <c r="F18" s="1305"/>
      <c r="G18" s="1305"/>
      <c r="H18" s="1305"/>
      <c r="I18" s="1305"/>
    </row>
    <row r="19" spans="1:9">
      <c r="A19" s="187"/>
      <c r="B19" s="187"/>
      <c r="C19" s="187"/>
      <c r="D19" s="187"/>
      <c r="E19" s="187"/>
      <c r="F19" s="187"/>
      <c r="G19" s="187"/>
      <c r="H19" s="187"/>
      <c r="I19" s="187"/>
    </row>
    <row r="20" spans="1:9">
      <c r="A20" s="187"/>
      <c r="B20" s="187"/>
      <c r="C20" s="187"/>
      <c r="D20" s="187"/>
      <c r="E20" s="187"/>
      <c r="F20" s="187"/>
      <c r="G20" s="187"/>
      <c r="H20" s="187"/>
      <c r="I20" s="187"/>
    </row>
    <row r="21" spans="1:9">
      <c r="A21" s="187"/>
      <c r="B21" s="187"/>
      <c r="C21" s="187"/>
      <c r="D21" s="187"/>
      <c r="E21" s="187"/>
      <c r="F21" s="187"/>
      <c r="G21" s="187"/>
      <c r="H21" s="187"/>
      <c r="I21" s="187"/>
    </row>
  </sheetData>
  <mergeCells count="2">
    <mergeCell ref="A16:I16"/>
    <mergeCell ref="A18:I18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tabSelected="1" topLeftCell="A3" workbookViewId="0">
      <selection activeCell="B17" sqref="B17"/>
    </sheetView>
  </sheetViews>
  <sheetFormatPr defaultRowHeight="12.75"/>
  <cols>
    <col min="1" max="1" width="15.5703125" customWidth="1"/>
    <col min="2" max="2" width="88.140625" customWidth="1"/>
    <col min="3" max="3" width="11.7109375" customWidth="1"/>
    <col min="257" max="257" width="15.5703125" customWidth="1"/>
    <col min="258" max="258" width="88.140625" customWidth="1"/>
    <col min="259" max="259" width="11.28515625" customWidth="1"/>
    <col min="513" max="513" width="15.5703125" customWidth="1"/>
    <col min="514" max="514" width="88.140625" customWidth="1"/>
    <col min="515" max="515" width="11.28515625" customWidth="1"/>
    <col min="769" max="769" width="15.5703125" customWidth="1"/>
    <col min="770" max="770" width="88.140625" customWidth="1"/>
    <col min="771" max="771" width="11.28515625" customWidth="1"/>
    <col min="1025" max="1025" width="15.5703125" customWidth="1"/>
    <col min="1026" max="1026" width="88.140625" customWidth="1"/>
    <col min="1027" max="1027" width="11.28515625" customWidth="1"/>
    <col min="1281" max="1281" width="15.5703125" customWidth="1"/>
    <col min="1282" max="1282" width="88.140625" customWidth="1"/>
    <col min="1283" max="1283" width="11.28515625" customWidth="1"/>
    <col min="1537" max="1537" width="15.5703125" customWidth="1"/>
    <col min="1538" max="1538" width="88.140625" customWidth="1"/>
    <col min="1539" max="1539" width="11.28515625" customWidth="1"/>
    <col min="1793" max="1793" width="15.5703125" customWidth="1"/>
    <col min="1794" max="1794" width="88.140625" customWidth="1"/>
    <col min="1795" max="1795" width="11.28515625" customWidth="1"/>
    <col min="2049" max="2049" width="15.5703125" customWidth="1"/>
    <col min="2050" max="2050" width="88.140625" customWidth="1"/>
    <col min="2051" max="2051" width="11.28515625" customWidth="1"/>
    <col min="2305" max="2305" width="15.5703125" customWidth="1"/>
    <col min="2306" max="2306" width="88.140625" customWidth="1"/>
    <col min="2307" max="2307" width="11.28515625" customWidth="1"/>
    <col min="2561" max="2561" width="15.5703125" customWidth="1"/>
    <col min="2562" max="2562" width="88.140625" customWidth="1"/>
    <col min="2563" max="2563" width="11.28515625" customWidth="1"/>
    <col min="2817" max="2817" width="15.5703125" customWidth="1"/>
    <col min="2818" max="2818" width="88.140625" customWidth="1"/>
    <col min="2819" max="2819" width="11.28515625" customWidth="1"/>
    <col min="3073" max="3073" width="15.5703125" customWidth="1"/>
    <col min="3074" max="3074" width="88.140625" customWidth="1"/>
    <col min="3075" max="3075" width="11.28515625" customWidth="1"/>
    <col min="3329" max="3329" width="15.5703125" customWidth="1"/>
    <col min="3330" max="3330" width="88.140625" customWidth="1"/>
    <col min="3331" max="3331" width="11.28515625" customWidth="1"/>
    <col min="3585" max="3585" width="15.5703125" customWidth="1"/>
    <col min="3586" max="3586" width="88.140625" customWidth="1"/>
    <col min="3587" max="3587" width="11.28515625" customWidth="1"/>
    <col min="3841" max="3841" width="15.5703125" customWidth="1"/>
    <col min="3842" max="3842" width="88.140625" customWidth="1"/>
    <col min="3843" max="3843" width="11.28515625" customWidth="1"/>
    <col min="4097" max="4097" width="15.5703125" customWidth="1"/>
    <col min="4098" max="4098" width="88.140625" customWidth="1"/>
    <col min="4099" max="4099" width="11.28515625" customWidth="1"/>
    <col min="4353" max="4353" width="15.5703125" customWidth="1"/>
    <col min="4354" max="4354" width="88.140625" customWidth="1"/>
    <col min="4355" max="4355" width="11.28515625" customWidth="1"/>
    <col min="4609" max="4609" width="15.5703125" customWidth="1"/>
    <col min="4610" max="4610" width="88.140625" customWidth="1"/>
    <col min="4611" max="4611" width="11.28515625" customWidth="1"/>
    <col min="4865" max="4865" width="15.5703125" customWidth="1"/>
    <col min="4866" max="4866" width="88.140625" customWidth="1"/>
    <col min="4867" max="4867" width="11.28515625" customWidth="1"/>
    <col min="5121" max="5121" width="15.5703125" customWidth="1"/>
    <col min="5122" max="5122" width="88.140625" customWidth="1"/>
    <col min="5123" max="5123" width="11.28515625" customWidth="1"/>
    <col min="5377" max="5377" width="15.5703125" customWidth="1"/>
    <col min="5378" max="5378" width="88.140625" customWidth="1"/>
    <col min="5379" max="5379" width="11.28515625" customWidth="1"/>
    <col min="5633" max="5633" width="15.5703125" customWidth="1"/>
    <col min="5634" max="5634" width="88.140625" customWidth="1"/>
    <col min="5635" max="5635" width="11.28515625" customWidth="1"/>
    <col min="5889" max="5889" width="15.5703125" customWidth="1"/>
    <col min="5890" max="5890" width="88.140625" customWidth="1"/>
    <col min="5891" max="5891" width="11.28515625" customWidth="1"/>
    <col min="6145" max="6145" width="15.5703125" customWidth="1"/>
    <col min="6146" max="6146" width="88.140625" customWidth="1"/>
    <col min="6147" max="6147" width="11.28515625" customWidth="1"/>
    <col min="6401" max="6401" width="15.5703125" customWidth="1"/>
    <col min="6402" max="6402" width="88.140625" customWidth="1"/>
    <col min="6403" max="6403" width="11.28515625" customWidth="1"/>
    <col min="6657" max="6657" width="15.5703125" customWidth="1"/>
    <col min="6658" max="6658" width="88.140625" customWidth="1"/>
    <col min="6659" max="6659" width="11.28515625" customWidth="1"/>
    <col min="6913" max="6913" width="15.5703125" customWidth="1"/>
    <col min="6914" max="6914" width="88.140625" customWidth="1"/>
    <col min="6915" max="6915" width="11.28515625" customWidth="1"/>
    <col min="7169" max="7169" width="15.5703125" customWidth="1"/>
    <col min="7170" max="7170" width="88.140625" customWidth="1"/>
    <col min="7171" max="7171" width="11.28515625" customWidth="1"/>
    <col min="7425" max="7425" width="15.5703125" customWidth="1"/>
    <col min="7426" max="7426" width="88.140625" customWidth="1"/>
    <col min="7427" max="7427" width="11.28515625" customWidth="1"/>
    <col min="7681" max="7681" width="15.5703125" customWidth="1"/>
    <col min="7682" max="7682" width="88.140625" customWidth="1"/>
    <col min="7683" max="7683" width="11.28515625" customWidth="1"/>
    <col min="7937" max="7937" width="15.5703125" customWidth="1"/>
    <col min="7938" max="7938" width="88.140625" customWidth="1"/>
    <col min="7939" max="7939" width="11.28515625" customWidth="1"/>
    <col min="8193" max="8193" width="15.5703125" customWidth="1"/>
    <col min="8194" max="8194" width="88.140625" customWidth="1"/>
    <col min="8195" max="8195" width="11.28515625" customWidth="1"/>
    <col min="8449" max="8449" width="15.5703125" customWidth="1"/>
    <col min="8450" max="8450" width="88.140625" customWidth="1"/>
    <col min="8451" max="8451" width="11.28515625" customWidth="1"/>
    <col min="8705" max="8705" width="15.5703125" customWidth="1"/>
    <col min="8706" max="8706" width="88.140625" customWidth="1"/>
    <col min="8707" max="8707" width="11.28515625" customWidth="1"/>
    <col min="8961" max="8961" width="15.5703125" customWidth="1"/>
    <col min="8962" max="8962" width="88.140625" customWidth="1"/>
    <col min="8963" max="8963" width="11.28515625" customWidth="1"/>
    <col min="9217" max="9217" width="15.5703125" customWidth="1"/>
    <col min="9218" max="9218" width="88.140625" customWidth="1"/>
    <col min="9219" max="9219" width="11.28515625" customWidth="1"/>
    <col min="9473" max="9473" width="15.5703125" customWidth="1"/>
    <col min="9474" max="9474" width="88.140625" customWidth="1"/>
    <col min="9475" max="9475" width="11.28515625" customWidth="1"/>
    <col min="9729" max="9729" width="15.5703125" customWidth="1"/>
    <col min="9730" max="9730" width="88.140625" customWidth="1"/>
    <col min="9731" max="9731" width="11.28515625" customWidth="1"/>
    <col min="9985" max="9985" width="15.5703125" customWidth="1"/>
    <col min="9986" max="9986" width="88.140625" customWidth="1"/>
    <col min="9987" max="9987" width="11.28515625" customWidth="1"/>
    <col min="10241" max="10241" width="15.5703125" customWidth="1"/>
    <col min="10242" max="10242" width="88.140625" customWidth="1"/>
    <col min="10243" max="10243" width="11.28515625" customWidth="1"/>
    <col min="10497" max="10497" width="15.5703125" customWidth="1"/>
    <col min="10498" max="10498" width="88.140625" customWidth="1"/>
    <col min="10499" max="10499" width="11.28515625" customWidth="1"/>
    <col min="10753" max="10753" width="15.5703125" customWidth="1"/>
    <col min="10754" max="10754" width="88.140625" customWidth="1"/>
    <col min="10755" max="10755" width="11.28515625" customWidth="1"/>
    <col min="11009" max="11009" width="15.5703125" customWidth="1"/>
    <col min="11010" max="11010" width="88.140625" customWidth="1"/>
    <col min="11011" max="11011" width="11.28515625" customWidth="1"/>
    <col min="11265" max="11265" width="15.5703125" customWidth="1"/>
    <col min="11266" max="11266" width="88.140625" customWidth="1"/>
    <col min="11267" max="11267" width="11.28515625" customWidth="1"/>
    <col min="11521" max="11521" width="15.5703125" customWidth="1"/>
    <col min="11522" max="11522" width="88.140625" customWidth="1"/>
    <col min="11523" max="11523" width="11.28515625" customWidth="1"/>
    <col min="11777" max="11777" width="15.5703125" customWidth="1"/>
    <col min="11778" max="11778" width="88.140625" customWidth="1"/>
    <col min="11779" max="11779" width="11.28515625" customWidth="1"/>
    <col min="12033" max="12033" width="15.5703125" customWidth="1"/>
    <col min="12034" max="12034" width="88.140625" customWidth="1"/>
    <col min="12035" max="12035" width="11.28515625" customWidth="1"/>
    <col min="12289" max="12289" width="15.5703125" customWidth="1"/>
    <col min="12290" max="12290" width="88.140625" customWidth="1"/>
    <col min="12291" max="12291" width="11.28515625" customWidth="1"/>
    <col min="12545" max="12545" width="15.5703125" customWidth="1"/>
    <col min="12546" max="12546" width="88.140625" customWidth="1"/>
    <col min="12547" max="12547" width="11.28515625" customWidth="1"/>
    <col min="12801" max="12801" width="15.5703125" customWidth="1"/>
    <col min="12802" max="12802" width="88.140625" customWidth="1"/>
    <col min="12803" max="12803" width="11.28515625" customWidth="1"/>
    <col min="13057" max="13057" width="15.5703125" customWidth="1"/>
    <col min="13058" max="13058" width="88.140625" customWidth="1"/>
    <col min="13059" max="13059" width="11.28515625" customWidth="1"/>
    <col min="13313" max="13313" width="15.5703125" customWidth="1"/>
    <col min="13314" max="13314" width="88.140625" customWidth="1"/>
    <col min="13315" max="13315" width="11.28515625" customWidth="1"/>
    <col min="13569" max="13569" width="15.5703125" customWidth="1"/>
    <col min="13570" max="13570" width="88.140625" customWidth="1"/>
    <col min="13571" max="13571" width="11.28515625" customWidth="1"/>
    <col min="13825" max="13825" width="15.5703125" customWidth="1"/>
    <col min="13826" max="13826" width="88.140625" customWidth="1"/>
    <col min="13827" max="13827" width="11.28515625" customWidth="1"/>
    <col min="14081" max="14081" width="15.5703125" customWidth="1"/>
    <col min="14082" max="14082" width="88.140625" customWidth="1"/>
    <col min="14083" max="14083" width="11.28515625" customWidth="1"/>
    <col min="14337" max="14337" width="15.5703125" customWidth="1"/>
    <col min="14338" max="14338" width="88.140625" customWidth="1"/>
    <col min="14339" max="14339" width="11.28515625" customWidth="1"/>
    <col min="14593" max="14593" width="15.5703125" customWidth="1"/>
    <col min="14594" max="14594" width="88.140625" customWidth="1"/>
    <col min="14595" max="14595" width="11.28515625" customWidth="1"/>
    <col min="14849" max="14849" width="15.5703125" customWidth="1"/>
    <col min="14850" max="14850" width="88.140625" customWidth="1"/>
    <col min="14851" max="14851" width="11.28515625" customWidth="1"/>
    <col min="15105" max="15105" width="15.5703125" customWidth="1"/>
    <col min="15106" max="15106" width="88.140625" customWidth="1"/>
    <col min="15107" max="15107" width="11.28515625" customWidth="1"/>
    <col min="15361" max="15361" width="15.5703125" customWidth="1"/>
    <col min="15362" max="15362" width="88.140625" customWidth="1"/>
    <col min="15363" max="15363" width="11.28515625" customWidth="1"/>
    <col min="15617" max="15617" width="15.5703125" customWidth="1"/>
    <col min="15618" max="15618" width="88.140625" customWidth="1"/>
    <col min="15619" max="15619" width="11.28515625" customWidth="1"/>
    <col min="15873" max="15873" width="15.5703125" customWidth="1"/>
    <col min="15874" max="15874" width="88.140625" customWidth="1"/>
    <col min="15875" max="15875" width="11.28515625" customWidth="1"/>
    <col min="16129" max="16129" width="15.5703125" customWidth="1"/>
    <col min="16130" max="16130" width="88.140625" customWidth="1"/>
    <col min="16131" max="16131" width="11.28515625" customWidth="1"/>
  </cols>
  <sheetData>
    <row r="1" spans="1:3" ht="54.75" customHeight="1">
      <c r="B1" s="189"/>
    </row>
    <row r="2" spans="1:3" ht="69" customHeight="1"/>
    <row r="3" spans="1:3" ht="30.75" customHeight="1">
      <c r="A3" s="190" t="s">
        <v>139</v>
      </c>
      <c r="C3" s="191"/>
    </row>
    <row r="4" spans="1:3" ht="17.100000000000001" customHeight="1" thickBot="1">
      <c r="A4" s="190"/>
      <c r="C4" s="191"/>
    </row>
    <row r="5" spans="1:3" ht="27" customHeight="1" thickTop="1">
      <c r="A5" s="1289" t="s">
        <v>44</v>
      </c>
      <c r="B5" s="1290" t="s">
        <v>140</v>
      </c>
      <c r="C5" s="1291">
        <v>4</v>
      </c>
    </row>
    <row r="6" spans="1:3" ht="27" customHeight="1">
      <c r="A6" s="1292" t="s">
        <v>141</v>
      </c>
      <c r="B6" s="192" t="s">
        <v>42</v>
      </c>
      <c r="C6" s="1293">
        <v>11</v>
      </c>
    </row>
    <row r="7" spans="1:3" ht="27" customHeight="1">
      <c r="A7" s="1294" t="s">
        <v>27</v>
      </c>
      <c r="B7" s="193" t="s">
        <v>142</v>
      </c>
      <c r="C7" s="1295">
        <v>12</v>
      </c>
    </row>
    <row r="8" spans="1:3" ht="27" customHeight="1">
      <c r="A8" s="1296" t="s">
        <v>28</v>
      </c>
      <c r="B8" s="194" t="s">
        <v>143</v>
      </c>
      <c r="C8" s="1297">
        <v>14</v>
      </c>
    </row>
    <row r="9" spans="1:3" ht="45" customHeight="1">
      <c r="A9" s="1298" t="s">
        <v>6</v>
      </c>
      <c r="B9" s="195" t="s">
        <v>144</v>
      </c>
      <c r="C9" s="1299">
        <v>17</v>
      </c>
    </row>
    <row r="10" spans="1:3" ht="30.75" customHeight="1">
      <c r="A10" s="1292" t="s">
        <v>145</v>
      </c>
      <c r="B10" s="196" t="s">
        <v>146</v>
      </c>
      <c r="C10" s="1299">
        <v>18</v>
      </c>
    </row>
    <row r="11" spans="1:3" ht="27" customHeight="1">
      <c r="A11" s="1300" t="s">
        <v>147</v>
      </c>
      <c r="B11" s="199" t="s">
        <v>153</v>
      </c>
      <c r="C11" s="1293">
        <v>19</v>
      </c>
    </row>
    <row r="12" spans="1:3" ht="30.75" customHeight="1">
      <c r="A12" s="1300" t="s">
        <v>148</v>
      </c>
      <c r="B12" s="197" t="s">
        <v>149</v>
      </c>
      <c r="C12" s="1299">
        <v>23</v>
      </c>
    </row>
    <row r="13" spans="1:3" ht="48" customHeight="1">
      <c r="A13" s="1300" t="s">
        <v>43</v>
      </c>
      <c r="B13" s="197" t="s">
        <v>150</v>
      </c>
      <c r="C13" s="1301">
        <v>25</v>
      </c>
    </row>
    <row r="14" spans="1:3" ht="34.5" customHeight="1">
      <c r="A14" s="1298" t="s">
        <v>26</v>
      </c>
      <c r="B14" s="195" t="s">
        <v>151</v>
      </c>
      <c r="C14" s="1299">
        <v>33</v>
      </c>
    </row>
    <row r="15" spans="1:3" ht="27" customHeight="1" thickBot="1">
      <c r="A15" s="1302"/>
      <c r="B15" s="1303" t="s">
        <v>832</v>
      </c>
      <c r="C15" s="1304">
        <v>34</v>
      </c>
    </row>
    <row r="16" spans="1:3" ht="13.5" thickTop="1"/>
    <row r="18" spans="1:2">
      <c r="B18" s="182"/>
    </row>
    <row r="21" spans="1:2">
      <c r="A21" s="182"/>
    </row>
  </sheetData>
  <printOptions horizontalCentered="1"/>
  <pageMargins left="1.1811023622047245" right="0.78740157480314965" top="0.98425196850393704" bottom="0.98425196850393704" header="0.51181102362204722" footer="0.51181102362204722"/>
  <pageSetup paperSize="9" scale="70" fitToHeight="2" orientation="portrait" horizontalDpi="4294967292" verticalDpi="300" r:id="rId1"/>
  <headerFooter alignWithMargins="0">
    <oddFooter xml:space="preserve">&amp;C&amp;12&amp;P+2&amp;10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AB308"/>
  <sheetViews>
    <sheetView showGridLines="0" view="pageBreakPreview" topLeftCell="A255" zoomScaleNormal="100" zoomScaleSheetLayoutView="100" workbookViewId="0">
      <selection activeCell="C272" sqref="C272"/>
    </sheetView>
  </sheetViews>
  <sheetFormatPr defaultRowHeight="12.75"/>
  <cols>
    <col min="1" max="1" width="4.42578125" style="1045" customWidth="1"/>
    <col min="2" max="2" width="6.140625" style="1045" customWidth="1"/>
    <col min="3" max="3" width="8" style="1045" customWidth="1"/>
    <col min="4" max="4" width="8.42578125" style="1045" customWidth="1"/>
    <col min="5" max="5" width="39.5703125" style="261" customWidth="1"/>
    <col min="6" max="8" width="14.140625" style="261" customWidth="1"/>
    <col min="9" max="9" width="13.85546875" style="261" customWidth="1"/>
    <col min="10" max="10" width="9.140625" style="261" customWidth="1"/>
    <col min="11" max="11" width="10.42578125" style="261" customWidth="1"/>
    <col min="12" max="14" width="15.7109375" style="353" customWidth="1"/>
    <col min="15" max="15" width="10.7109375" style="353" hidden="1" customWidth="1"/>
    <col min="16" max="16" width="12.140625" style="353" hidden="1" customWidth="1"/>
    <col min="17" max="17" width="18.5703125" style="260" customWidth="1"/>
    <col min="18" max="18" width="16.140625" style="260" customWidth="1"/>
    <col min="19" max="19" width="14.42578125" style="260" bestFit="1" customWidth="1"/>
    <col min="20" max="20" width="13.42578125" style="260" bestFit="1" customWidth="1"/>
    <col min="21" max="28" width="9.140625" style="260"/>
    <col min="29" max="260" width="9.140625" style="261"/>
    <col min="261" max="261" width="40.42578125" style="261" customWidth="1"/>
    <col min="262" max="265" width="19.7109375" style="261" bestFit="1" customWidth="1"/>
    <col min="266" max="266" width="24.42578125" style="261" bestFit="1" customWidth="1"/>
    <col min="267" max="267" width="19.7109375" style="261" bestFit="1" customWidth="1"/>
    <col min="268" max="270" width="15.7109375" style="261" customWidth="1"/>
    <col min="271" max="272" width="0" style="261" hidden="1" customWidth="1"/>
    <col min="273" max="273" width="18.5703125" style="261" customWidth="1"/>
    <col min="274" max="274" width="16.140625" style="261" customWidth="1"/>
    <col min="275" max="275" width="14.42578125" style="261" bestFit="1" customWidth="1"/>
    <col min="276" max="276" width="13.42578125" style="261" bestFit="1" customWidth="1"/>
    <col min="277" max="516" width="9.140625" style="261"/>
    <col min="517" max="517" width="40.42578125" style="261" customWidth="1"/>
    <col min="518" max="521" width="19.7109375" style="261" bestFit="1" customWidth="1"/>
    <col min="522" max="522" width="24.42578125" style="261" bestFit="1" customWidth="1"/>
    <col min="523" max="523" width="19.7109375" style="261" bestFit="1" customWidth="1"/>
    <col min="524" max="526" width="15.7109375" style="261" customWidth="1"/>
    <col min="527" max="528" width="0" style="261" hidden="1" customWidth="1"/>
    <col min="529" max="529" width="18.5703125" style="261" customWidth="1"/>
    <col min="530" max="530" width="16.140625" style="261" customWidth="1"/>
    <col min="531" max="531" width="14.42578125" style="261" bestFit="1" customWidth="1"/>
    <col min="532" max="532" width="13.42578125" style="261" bestFit="1" customWidth="1"/>
    <col min="533" max="772" width="9.140625" style="261"/>
    <col min="773" max="773" width="40.42578125" style="261" customWidth="1"/>
    <col min="774" max="777" width="19.7109375" style="261" bestFit="1" customWidth="1"/>
    <col min="778" max="778" width="24.42578125" style="261" bestFit="1" customWidth="1"/>
    <col min="779" max="779" width="19.7109375" style="261" bestFit="1" customWidth="1"/>
    <col min="780" max="782" width="15.7109375" style="261" customWidth="1"/>
    <col min="783" max="784" width="0" style="261" hidden="1" customWidth="1"/>
    <col min="785" max="785" width="18.5703125" style="261" customWidth="1"/>
    <col min="786" max="786" width="16.140625" style="261" customWidth="1"/>
    <col min="787" max="787" width="14.42578125" style="261" bestFit="1" customWidth="1"/>
    <col min="788" max="788" width="13.42578125" style="261" bestFit="1" customWidth="1"/>
    <col min="789" max="1028" width="9.140625" style="261"/>
    <col min="1029" max="1029" width="40.42578125" style="261" customWidth="1"/>
    <col min="1030" max="1033" width="19.7109375" style="261" bestFit="1" customWidth="1"/>
    <col min="1034" max="1034" width="24.42578125" style="261" bestFit="1" customWidth="1"/>
    <col min="1035" max="1035" width="19.7109375" style="261" bestFit="1" customWidth="1"/>
    <col min="1036" max="1038" width="15.7109375" style="261" customWidth="1"/>
    <col min="1039" max="1040" width="0" style="261" hidden="1" customWidth="1"/>
    <col min="1041" max="1041" width="18.5703125" style="261" customWidth="1"/>
    <col min="1042" max="1042" width="16.140625" style="261" customWidth="1"/>
    <col min="1043" max="1043" width="14.42578125" style="261" bestFit="1" customWidth="1"/>
    <col min="1044" max="1044" width="13.42578125" style="261" bestFit="1" customWidth="1"/>
    <col min="1045" max="1284" width="9.140625" style="261"/>
    <col min="1285" max="1285" width="40.42578125" style="261" customWidth="1"/>
    <col min="1286" max="1289" width="19.7109375" style="261" bestFit="1" customWidth="1"/>
    <col min="1290" max="1290" width="24.42578125" style="261" bestFit="1" customWidth="1"/>
    <col min="1291" max="1291" width="19.7109375" style="261" bestFit="1" customWidth="1"/>
    <col min="1292" max="1294" width="15.7109375" style="261" customWidth="1"/>
    <col min="1295" max="1296" width="0" style="261" hidden="1" customWidth="1"/>
    <col min="1297" max="1297" width="18.5703125" style="261" customWidth="1"/>
    <col min="1298" max="1298" width="16.140625" style="261" customWidth="1"/>
    <col min="1299" max="1299" width="14.42578125" style="261" bestFit="1" customWidth="1"/>
    <col min="1300" max="1300" width="13.42578125" style="261" bestFit="1" customWidth="1"/>
    <col min="1301" max="1540" width="9.140625" style="261"/>
    <col min="1541" max="1541" width="40.42578125" style="261" customWidth="1"/>
    <col min="1542" max="1545" width="19.7109375" style="261" bestFit="1" customWidth="1"/>
    <col min="1546" max="1546" width="24.42578125" style="261" bestFit="1" customWidth="1"/>
    <col min="1547" max="1547" width="19.7109375" style="261" bestFit="1" customWidth="1"/>
    <col min="1548" max="1550" width="15.7109375" style="261" customWidth="1"/>
    <col min="1551" max="1552" width="0" style="261" hidden="1" customWidth="1"/>
    <col min="1553" max="1553" width="18.5703125" style="261" customWidth="1"/>
    <col min="1554" max="1554" width="16.140625" style="261" customWidth="1"/>
    <col min="1555" max="1555" width="14.42578125" style="261" bestFit="1" customWidth="1"/>
    <col min="1556" max="1556" width="13.42578125" style="261" bestFit="1" customWidth="1"/>
    <col min="1557" max="1796" width="9.140625" style="261"/>
    <col min="1797" max="1797" width="40.42578125" style="261" customWidth="1"/>
    <col min="1798" max="1801" width="19.7109375" style="261" bestFit="1" customWidth="1"/>
    <col min="1802" max="1802" width="24.42578125" style="261" bestFit="1" customWidth="1"/>
    <col min="1803" max="1803" width="19.7109375" style="261" bestFit="1" customWidth="1"/>
    <col min="1804" max="1806" width="15.7109375" style="261" customWidth="1"/>
    <col min="1807" max="1808" width="0" style="261" hidden="1" customWidth="1"/>
    <col min="1809" max="1809" width="18.5703125" style="261" customWidth="1"/>
    <col min="1810" max="1810" width="16.140625" style="261" customWidth="1"/>
    <col min="1811" max="1811" width="14.42578125" style="261" bestFit="1" customWidth="1"/>
    <col min="1812" max="1812" width="13.42578125" style="261" bestFit="1" customWidth="1"/>
    <col min="1813" max="2052" width="9.140625" style="261"/>
    <col min="2053" max="2053" width="40.42578125" style="261" customWidth="1"/>
    <col min="2054" max="2057" width="19.7109375" style="261" bestFit="1" customWidth="1"/>
    <col min="2058" max="2058" width="24.42578125" style="261" bestFit="1" customWidth="1"/>
    <col min="2059" max="2059" width="19.7109375" style="261" bestFit="1" customWidth="1"/>
    <col min="2060" max="2062" width="15.7109375" style="261" customWidth="1"/>
    <col min="2063" max="2064" width="0" style="261" hidden="1" customWidth="1"/>
    <col min="2065" max="2065" width="18.5703125" style="261" customWidth="1"/>
    <col min="2066" max="2066" width="16.140625" style="261" customWidth="1"/>
    <col min="2067" max="2067" width="14.42578125" style="261" bestFit="1" customWidth="1"/>
    <col min="2068" max="2068" width="13.42578125" style="261" bestFit="1" customWidth="1"/>
    <col min="2069" max="2308" width="9.140625" style="261"/>
    <col min="2309" max="2309" width="40.42578125" style="261" customWidth="1"/>
    <col min="2310" max="2313" width="19.7109375" style="261" bestFit="1" customWidth="1"/>
    <col min="2314" max="2314" width="24.42578125" style="261" bestFit="1" customWidth="1"/>
    <col min="2315" max="2315" width="19.7109375" style="261" bestFit="1" customWidth="1"/>
    <col min="2316" max="2318" width="15.7109375" style="261" customWidth="1"/>
    <col min="2319" max="2320" width="0" style="261" hidden="1" customWidth="1"/>
    <col min="2321" max="2321" width="18.5703125" style="261" customWidth="1"/>
    <col min="2322" max="2322" width="16.140625" style="261" customWidth="1"/>
    <col min="2323" max="2323" width="14.42578125" style="261" bestFit="1" customWidth="1"/>
    <col min="2324" max="2324" width="13.42578125" style="261" bestFit="1" customWidth="1"/>
    <col min="2325" max="2564" width="9.140625" style="261"/>
    <col min="2565" max="2565" width="40.42578125" style="261" customWidth="1"/>
    <col min="2566" max="2569" width="19.7109375" style="261" bestFit="1" customWidth="1"/>
    <col min="2570" max="2570" width="24.42578125" style="261" bestFit="1" customWidth="1"/>
    <col min="2571" max="2571" width="19.7109375" style="261" bestFit="1" customWidth="1"/>
    <col min="2572" max="2574" width="15.7109375" style="261" customWidth="1"/>
    <col min="2575" max="2576" width="0" style="261" hidden="1" customWidth="1"/>
    <col min="2577" max="2577" width="18.5703125" style="261" customWidth="1"/>
    <col min="2578" max="2578" width="16.140625" style="261" customWidth="1"/>
    <col min="2579" max="2579" width="14.42578125" style="261" bestFit="1" customWidth="1"/>
    <col min="2580" max="2580" width="13.42578125" style="261" bestFit="1" customWidth="1"/>
    <col min="2581" max="2820" width="9.140625" style="261"/>
    <col min="2821" max="2821" width="40.42578125" style="261" customWidth="1"/>
    <col min="2822" max="2825" width="19.7109375" style="261" bestFit="1" customWidth="1"/>
    <col min="2826" max="2826" width="24.42578125" style="261" bestFit="1" customWidth="1"/>
    <col min="2827" max="2827" width="19.7109375" style="261" bestFit="1" customWidth="1"/>
    <col min="2828" max="2830" width="15.7109375" style="261" customWidth="1"/>
    <col min="2831" max="2832" width="0" style="261" hidden="1" customWidth="1"/>
    <col min="2833" max="2833" width="18.5703125" style="261" customWidth="1"/>
    <col min="2834" max="2834" width="16.140625" style="261" customWidth="1"/>
    <col min="2835" max="2835" width="14.42578125" style="261" bestFit="1" customWidth="1"/>
    <col min="2836" max="2836" width="13.42578125" style="261" bestFit="1" customWidth="1"/>
    <col min="2837" max="3076" width="9.140625" style="261"/>
    <col min="3077" max="3077" width="40.42578125" style="261" customWidth="1"/>
    <col min="3078" max="3081" width="19.7109375" style="261" bestFit="1" customWidth="1"/>
    <col min="3082" max="3082" width="24.42578125" style="261" bestFit="1" customWidth="1"/>
    <col min="3083" max="3083" width="19.7109375" style="261" bestFit="1" customWidth="1"/>
    <col min="3084" max="3086" width="15.7109375" style="261" customWidth="1"/>
    <col min="3087" max="3088" width="0" style="261" hidden="1" customWidth="1"/>
    <col min="3089" max="3089" width="18.5703125" style="261" customWidth="1"/>
    <col min="3090" max="3090" width="16.140625" style="261" customWidth="1"/>
    <col min="3091" max="3091" width="14.42578125" style="261" bestFit="1" customWidth="1"/>
    <col min="3092" max="3092" width="13.42578125" style="261" bestFit="1" customWidth="1"/>
    <col min="3093" max="3332" width="9.140625" style="261"/>
    <col min="3333" max="3333" width="40.42578125" style="261" customWidth="1"/>
    <col min="3334" max="3337" width="19.7109375" style="261" bestFit="1" customWidth="1"/>
    <col min="3338" max="3338" width="24.42578125" style="261" bestFit="1" customWidth="1"/>
    <col min="3339" max="3339" width="19.7109375" style="261" bestFit="1" customWidth="1"/>
    <col min="3340" max="3342" width="15.7109375" style="261" customWidth="1"/>
    <col min="3343" max="3344" width="0" style="261" hidden="1" customWidth="1"/>
    <col min="3345" max="3345" width="18.5703125" style="261" customWidth="1"/>
    <col min="3346" max="3346" width="16.140625" style="261" customWidth="1"/>
    <col min="3347" max="3347" width="14.42578125" style="261" bestFit="1" customWidth="1"/>
    <col min="3348" max="3348" width="13.42578125" style="261" bestFit="1" customWidth="1"/>
    <col min="3349" max="3588" width="9.140625" style="261"/>
    <col min="3589" max="3589" width="40.42578125" style="261" customWidth="1"/>
    <col min="3590" max="3593" width="19.7109375" style="261" bestFit="1" customWidth="1"/>
    <col min="3594" max="3594" width="24.42578125" style="261" bestFit="1" customWidth="1"/>
    <col min="3595" max="3595" width="19.7109375" style="261" bestFit="1" customWidth="1"/>
    <col min="3596" max="3598" width="15.7109375" style="261" customWidth="1"/>
    <col min="3599" max="3600" width="0" style="261" hidden="1" customWidth="1"/>
    <col min="3601" max="3601" width="18.5703125" style="261" customWidth="1"/>
    <col min="3602" max="3602" width="16.140625" style="261" customWidth="1"/>
    <col min="3603" max="3603" width="14.42578125" style="261" bestFit="1" customWidth="1"/>
    <col min="3604" max="3604" width="13.42578125" style="261" bestFit="1" customWidth="1"/>
    <col min="3605" max="3844" width="9.140625" style="261"/>
    <col min="3845" max="3845" width="40.42578125" style="261" customWidth="1"/>
    <col min="3846" max="3849" width="19.7109375" style="261" bestFit="1" customWidth="1"/>
    <col min="3850" max="3850" width="24.42578125" style="261" bestFit="1" customWidth="1"/>
    <col min="3851" max="3851" width="19.7109375" style="261" bestFit="1" customWidth="1"/>
    <col min="3852" max="3854" width="15.7109375" style="261" customWidth="1"/>
    <col min="3855" max="3856" width="0" style="261" hidden="1" customWidth="1"/>
    <col min="3857" max="3857" width="18.5703125" style="261" customWidth="1"/>
    <col min="3858" max="3858" width="16.140625" style="261" customWidth="1"/>
    <col min="3859" max="3859" width="14.42578125" style="261" bestFit="1" customWidth="1"/>
    <col min="3860" max="3860" width="13.42578125" style="261" bestFit="1" customWidth="1"/>
    <col min="3861" max="4100" width="9.140625" style="261"/>
    <col min="4101" max="4101" width="40.42578125" style="261" customWidth="1"/>
    <col min="4102" max="4105" width="19.7109375" style="261" bestFit="1" customWidth="1"/>
    <col min="4106" max="4106" width="24.42578125" style="261" bestFit="1" customWidth="1"/>
    <col min="4107" max="4107" width="19.7109375" style="261" bestFit="1" customWidth="1"/>
    <col min="4108" max="4110" width="15.7109375" style="261" customWidth="1"/>
    <col min="4111" max="4112" width="0" style="261" hidden="1" customWidth="1"/>
    <col min="4113" max="4113" width="18.5703125" style="261" customWidth="1"/>
    <col min="4114" max="4114" width="16.140625" style="261" customWidth="1"/>
    <col min="4115" max="4115" width="14.42578125" style="261" bestFit="1" customWidth="1"/>
    <col min="4116" max="4116" width="13.42578125" style="261" bestFit="1" customWidth="1"/>
    <col min="4117" max="4356" width="9.140625" style="261"/>
    <col min="4357" max="4357" width="40.42578125" style="261" customWidth="1"/>
    <col min="4358" max="4361" width="19.7109375" style="261" bestFit="1" customWidth="1"/>
    <col min="4362" max="4362" width="24.42578125" style="261" bestFit="1" customWidth="1"/>
    <col min="4363" max="4363" width="19.7109375" style="261" bestFit="1" customWidth="1"/>
    <col min="4364" max="4366" width="15.7109375" style="261" customWidth="1"/>
    <col min="4367" max="4368" width="0" style="261" hidden="1" customWidth="1"/>
    <col min="4369" max="4369" width="18.5703125" style="261" customWidth="1"/>
    <col min="4370" max="4370" width="16.140625" style="261" customWidth="1"/>
    <col min="4371" max="4371" width="14.42578125" style="261" bestFit="1" customWidth="1"/>
    <col min="4372" max="4372" width="13.42578125" style="261" bestFit="1" customWidth="1"/>
    <col min="4373" max="4612" width="9.140625" style="261"/>
    <col min="4613" max="4613" width="40.42578125" style="261" customWidth="1"/>
    <col min="4614" max="4617" width="19.7109375" style="261" bestFit="1" customWidth="1"/>
    <col min="4618" max="4618" width="24.42578125" style="261" bestFit="1" customWidth="1"/>
    <col min="4619" max="4619" width="19.7109375" style="261" bestFit="1" customWidth="1"/>
    <col min="4620" max="4622" width="15.7109375" style="261" customWidth="1"/>
    <col min="4623" max="4624" width="0" style="261" hidden="1" customWidth="1"/>
    <col min="4625" max="4625" width="18.5703125" style="261" customWidth="1"/>
    <col min="4626" max="4626" width="16.140625" style="261" customWidth="1"/>
    <col min="4627" max="4627" width="14.42578125" style="261" bestFit="1" customWidth="1"/>
    <col min="4628" max="4628" width="13.42578125" style="261" bestFit="1" customWidth="1"/>
    <col min="4629" max="4868" width="9.140625" style="261"/>
    <col min="4869" max="4869" width="40.42578125" style="261" customWidth="1"/>
    <col min="4870" max="4873" width="19.7109375" style="261" bestFit="1" customWidth="1"/>
    <col min="4874" max="4874" width="24.42578125" style="261" bestFit="1" customWidth="1"/>
    <col min="4875" max="4875" width="19.7109375" style="261" bestFit="1" customWidth="1"/>
    <col min="4876" max="4878" width="15.7109375" style="261" customWidth="1"/>
    <col min="4879" max="4880" width="0" style="261" hidden="1" customWidth="1"/>
    <col min="4881" max="4881" width="18.5703125" style="261" customWidth="1"/>
    <col min="4882" max="4882" width="16.140625" style="261" customWidth="1"/>
    <col min="4883" max="4883" width="14.42578125" style="261" bestFit="1" customWidth="1"/>
    <col min="4884" max="4884" width="13.42578125" style="261" bestFit="1" customWidth="1"/>
    <col min="4885" max="5124" width="9.140625" style="261"/>
    <col min="5125" max="5125" width="40.42578125" style="261" customWidth="1"/>
    <col min="5126" max="5129" width="19.7109375" style="261" bestFit="1" customWidth="1"/>
    <col min="5130" max="5130" width="24.42578125" style="261" bestFit="1" customWidth="1"/>
    <col min="5131" max="5131" width="19.7109375" style="261" bestFit="1" customWidth="1"/>
    <col min="5132" max="5134" width="15.7109375" style="261" customWidth="1"/>
    <col min="5135" max="5136" width="0" style="261" hidden="1" customWidth="1"/>
    <col min="5137" max="5137" width="18.5703125" style="261" customWidth="1"/>
    <col min="5138" max="5138" width="16.140625" style="261" customWidth="1"/>
    <col min="5139" max="5139" width="14.42578125" style="261" bestFit="1" customWidth="1"/>
    <col min="5140" max="5140" width="13.42578125" style="261" bestFit="1" customWidth="1"/>
    <col min="5141" max="5380" width="9.140625" style="261"/>
    <col min="5381" max="5381" width="40.42578125" style="261" customWidth="1"/>
    <col min="5382" max="5385" width="19.7109375" style="261" bestFit="1" customWidth="1"/>
    <col min="5386" max="5386" width="24.42578125" style="261" bestFit="1" customWidth="1"/>
    <col min="5387" max="5387" width="19.7109375" style="261" bestFit="1" customWidth="1"/>
    <col min="5388" max="5390" width="15.7109375" style="261" customWidth="1"/>
    <col min="5391" max="5392" width="0" style="261" hidden="1" customWidth="1"/>
    <col min="5393" max="5393" width="18.5703125" style="261" customWidth="1"/>
    <col min="5394" max="5394" width="16.140625" style="261" customWidth="1"/>
    <col min="5395" max="5395" width="14.42578125" style="261" bestFit="1" customWidth="1"/>
    <col min="5396" max="5396" width="13.42578125" style="261" bestFit="1" customWidth="1"/>
    <col min="5397" max="5636" width="9.140625" style="261"/>
    <col min="5637" max="5637" width="40.42578125" style="261" customWidth="1"/>
    <col min="5638" max="5641" width="19.7109375" style="261" bestFit="1" customWidth="1"/>
    <col min="5642" max="5642" width="24.42578125" style="261" bestFit="1" customWidth="1"/>
    <col min="5643" max="5643" width="19.7109375" style="261" bestFit="1" customWidth="1"/>
    <col min="5644" max="5646" width="15.7109375" style="261" customWidth="1"/>
    <col min="5647" max="5648" width="0" style="261" hidden="1" customWidth="1"/>
    <col min="5649" max="5649" width="18.5703125" style="261" customWidth="1"/>
    <col min="5650" max="5650" width="16.140625" style="261" customWidth="1"/>
    <col min="5651" max="5651" width="14.42578125" style="261" bestFit="1" customWidth="1"/>
    <col min="5652" max="5652" width="13.42578125" style="261" bestFit="1" customWidth="1"/>
    <col min="5653" max="5892" width="9.140625" style="261"/>
    <col min="5893" max="5893" width="40.42578125" style="261" customWidth="1"/>
    <col min="5894" max="5897" width="19.7109375" style="261" bestFit="1" customWidth="1"/>
    <col min="5898" max="5898" width="24.42578125" style="261" bestFit="1" customWidth="1"/>
    <col min="5899" max="5899" width="19.7109375" style="261" bestFit="1" customWidth="1"/>
    <col min="5900" max="5902" width="15.7109375" style="261" customWidth="1"/>
    <col min="5903" max="5904" width="0" style="261" hidden="1" customWidth="1"/>
    <col min="5905" max="5905" width="18.5703125" style="261" customWidth="1"/>
    <col min="5906" max="5906" width="16.140625" style="261" customWidth="1"/>
    <col min="5907" max="5907" width="14.42578125" style="261" bestFit="1" customWidth="1"/>
    <col min="5908" max="5908" width="13.42578125" style="261" bestFit="1" customWidth="1"/>
    <col min="5909" max="6148" width="9.140625" style="261"/>
    <col min="6149" max="6149" width="40.42578125" style="261" customWidth="1"/>
    <col min="6150" max="6153" width="19.7109375" style="261" bestFit="1" customWidth="1"/>
    <col min="6154" max="6154" width="24.42578125" style="261" bestFit="1" customWidth="1"/>
    <col min="6155" max="6155" width="19.7109375" style="261" bestFit="1" customWidth="1"/>
    <col min="6156" max="6158" width="15.7109375" style="261" customWidth="1"/>
    <col min="6159" max="6160" width="0" style="261" hidden="1" customWidth="1"/>
    <col min="6161" max="6161" width="18.5703125" style="261" customWidth="1"/>
    <col min="6162" max="6162" width="16.140625" style="261" customWidth="1"/>
    <col min="6163" max="6163" width="14.42578125" style="261" bestFit="1" customWidth="1"/>
    <col min="6164" max="6164" width="13.42578125" style="261" bestFit="1" customWidth="1"/>
    <col min="6165" max="6404" width="9.140625" style="261"/>
    <col min="6405" max="6405" width="40.42578125" style="261" customWidth="1"/>
    <col min="6406" max="6409" width="19.7109375" style="261" bestFit="1" customWidth="1"/>
    <col min="6410" max="6410" width="24.42578125" style="261" bestFit="1" customWidth="1"/>
    <col min="6411" max="6411" width="19.7109375" style="261" bestFit="1" customWidth="1"/>
    <col min="6412" max="6414" width="15.7109375" style="261" customWidth="1"/>
    <col min="6415" max="6416" width="0" style="261" hidden="1" customWidth="1"/>
    <col min="6417" max="6417" width="18.5703125" style="261" customWidth="1"/>
    <col min="6418" max="6418" width="16.140625" style="261" customWidth="1"/>
    <col min="6419" max="6419" width="14.42578125" style="261" bestFit="1" customWidth="1"/>
    <col min="6420" max="6420" width="13.42578125" style="261" bestFit="1" customWidth="1"/>
    <col min="6421" max="6660" width="9.140625" style="261"/>
    <col min="6661" max="6661" width="40.42578125" style="261" customWidth="1"/>
    <col min="6662" max="6665" width="19.7109375" style="261" bestFit="1" customWidth="1"/>
    <col min="6666" max="6666" width="24.42578125" style="261" bestFit="1" customWidth="1"/>
    <col min="6667" max="6667" width="19.7109375" style="261" bestFit="1" customWidth="1"/>
    <col min="6668" max="6670" width="15.7109375" style="261" customWidth="1"/>
    <col min="6671" max="6672" width="0" style="261" hidden="1" customWidth="1"/>
    <col min="6673" max="6673" width="18.5703125" style="261" customWidth="1"/>
    <col min="6674" max="6674" width="16.140625" style="261" customWidth="1"/>
    <col min="6675" max="6675" width="14.42578125" style="261" bestFit="1" customWidth="1"/>
    <col min="6676" max="6676" width="13.42578125" style="261" bestFit="1" customWidth="1"/>
    <col min="6677" max="6916" width="9.140625" style="261"/>
    <col min="6917" max="6917" width="40.42578125" style="261" customWidth="1"/>
    <col min="6918" max="6921" width="19.7109375" style="261" bestFit="1" customWidth="1"/>
    <col min="6922" max="6922" width="24.42578125" style="261" bestFit="1" customWidth="1"/>
    <col min="6923" max="6923" width="19.7109375" style="261" bestFit="1" customWidth="1"/>
    <col min="6924" max="6926" width="15.7109375" style="261" customWidth="1"/>
    <col min="6927" max="6928" width="0" style="261" hidden="1" customWidth="1"/>
    <col min="6929" max="6929" width="18.5703125" style="261" customWidth="1"/>
    <col min="6930" max="6930" width="16.140625" style="261" customWidth="1"/>
    <col min="6931" max="6931" width="14.42578125" style="261" bestFit="1" customWidth="1"/>
    <col min="6932" max="6932" width="13.42578125" style="261" bestFit="1" customWidth="1"/>
    <col min="6933" max="7172" width="9.140625" style="261"/>
    <col min="7173" max="7173" width="40.42578125" style="261" customWidth="1"/>
    <col min="7174" max="7177" width="19.7109375" style="261" bestFit="1" customWidth="1"/>
    <col min="7178" max="7178" width="24.42578125" style="261" bestFit="1" customWidth="1"/>
    <col min="7179" max="7179" width="19.7109375" style="261" bestFit="1" customWidth="1"/>
    <col min="7180" max="7182" width="15.7109375" style="261" customWidth="1"/>
    <col min="7183" max="7184" width="0" style="261" hidden="1" customWidth="1"/>
    <col min="7185" max="7185" width="18.5703125" style="261" customWidth="1"/>
    <col min="7186" max="7186" width="16.140625" style="261" customWidth="1"/>
    <col min="7187" max="7187" width="14.42578125" style="261" bestFit="1" customWidth="1"/>
    <col min="7188" max="7188" width="13.42578125" style="261" bestFit="1" customWidth="1"/>
    <col min="7189" max="7428" width="9.140625" style="261"/>
    <col min="7429" max="7429" width="40.42578125" style="261" customWidth="1"/>
    <col min="7430" max="7433" width="19.7109375" style="261" bestFit="1" customWidth="1"/>
    <col min="7434" max="7434" width="24.42578125" style="261" bestFit="1" customWidth="1"/>
    <col min="7435" max="7435" width="19.7109375" style="261" bestFit="1" customWidth="1"/>
    <col min="7436" max="7438" width="15.7109375" style="261" customWidth="1"/>
    <col min="7439" max="7440" width="0" style="261" hidden="1" customWidth="1"/>
    <col min="7441" max="7441" width="18.5703125" style="261" customWidth="1"/>
    <col min="7442" max="7442" width="16.140625" style="261" customWidth="1"/>
    <col min="7443" max="7443" width="14.42578125" style="261" bestFit="1" customWidth="1"/>
    <col min="7444" max="7444" width="13.42578125" style="261" bestFit="1" customWidth="1"/>
    <col min="7445" max="7684" width="9.140625" style="261"/>
    <col min="7685" max="7685" width="40.42578125" style="261" customWidth="1"/>
    <col min="7686" max="7689" width="19.7109375" style="261" bestFit="1" customWidth="1"/>
    <col min="7690" max="7690" width="24.42578125" style="261" bestFit="1" customWidth="1"/>
    <col min="7691" max="7691" width="19.7109375" style="261" bestFit="1" customWidth="1"/>
    <col min="7692" max="7694" width="15.7109375" style="261" customWidth="1"/>
    <col min="7695" max="7696" width="0" style="261" hidden="1" customWidth="1"/>
    <col min="7697" max="7697" width="18.5703125" style="261" customWidth="1"/>
    <col min="7698" max="7698" width="16.140625" style="261" customWidth="1"/>
    <col min="7699" max="7699" width="14.42578125" style="261" bestFit="1" customWidth="1"/>
    <col min="7700" max="7700" width="13.42578125" style="261" bestFit="1" customWidth="1"/>
    <col min="7701" max="7940" width="9.140625" style="261"/>
    <col min="7941" max="7941" width="40.42578125" style="261" customWidth="1"/>
    <col min="7942" max="7945" width="19.7109375" style="261" bestFit="1" customWidth="1"/>
    <col min="7946" max="7946" width="24.42578125" style="261" bestFit="1" customWidth="1"/>
    <col min="7947" max="7947" width="19.7109375" style="261" bestFit="1" customWidth="1"/>
    <col min="7948" max="7950" width="15.7109375" style="261" customWidth="1"/>
    <col min="7951" max="7952" width="0" style="261" hidden="1" customWidth="1"/>
    <col min="7953" max="7953" width="18.5703125" style="261" customWidth="1"/>
    <col min="7954" max="7954" width="16.140625" style="261" customWidth="1"/>
    <col min="7955" max="7955" width="14.42578125" style="261" bestFit="1" customWidth="1"/>
    <col min="7956" max="7956" width="13.42578125" style="261" bestFit="1" customWidth="1"/>
    <col min="7957" max="8196" width="9.140625" style="261"/>
    <col min="8197" max="8197" width="40.42578125" style="261" customWidth="1"/>
    <col min="8198" max="8201" width="19.7109375" style="261" bestFit="1" customWidth="1"/>
    <col min="8202" max="8202" width="24.42578125" style="261" bestFit="1" customWidth="1"/>
    <col min="8203" max="8203" width="19.7109375" style="261" bestFit="1" customWidth="1"/>
    <col min="8204" max="8206" width="15.7109375" style="261" customWidth="1"/>
    <col min="8207" max="8208" width="0" style="261" hidden="1" customWidth="1"/>
    <col min="8209" max="8209" width="18.5703125" style="261" customWidth="1"/>
    <col min="8210" max="8210" width="16.140625" style="261" customWidth="1"/>
    <col min="8211" max="8211" width="14.42578125" style="261" bestFit="1" customWidth="1"/>
    <col min="8212" max="8212" width="13.42578125" style="261" bestFit="1" customWidth="1"/>
    <col min="8213" max="8452" width="9.140625" style="261"/>
    <col min="8453" max="8453" width="40.42578125" style="261" customWidth="1"/>
    <col min="8454" max="8457" width="19.7109375" style="261" bestFit="1" customWidth="1"/>
    <col min="8458" max="8458" width="24.42578125" style="261" bestFit="1" customWidth="1"/>
    <col min="8459" max="8459" width="19.7109375" style="261" bestFit="1" customWidth="1"/>
    <col min="8460" max="8462" width="15.7109375" style="261" customWidth="1"/>
    <col min="8463" max="8464" width="0" style="261" hidden="1" customWidth="1"/>
    <col min="8465" max="8465" width="18.5703125" style="261" customWidth="1"/>
    <col min="8466" max="8466" width="16.140625" style="261" customWidth="1"/>
    <col min="8467" max="8467" width="14.42578125" style="261" bestFit="1" customWidth="1"/>
    <col min="8468" max="8468" width="13.42578125" style="261" bestFit="1" customWidth="1"/>
    <col min="8469" max="8708" width="9.140625" style="261"/>
    <col min="8709" max="8709" width="40.42578125" style="261" customWidth="1"/>
    <col min="8710" max="8713" width="19.7109375" style="261" bestFit="1" customWidth="1"/>
    <col min="8714" max="8714" width="24.42578125" style="261" bestFit="1" customWidth="1"/>
    <col min="8715" max="8715" width="19.7109375" style="261" bestFit="1" customWidth="1"/>
    <col min="8716" max="8718" width="15.7109375" style="261" customWidth="1"/>
    <col min="8719" max="8720" width="0" style="261" hidden="1" customWidth="1"/>
    <col min="8721" max="8721" width="18.5703125" style="261" customWidth="1"/>
    <col min="8722" max="8722" width="16.140625" style="261" customWidth="1"/>
    <col min="8723" max="8723" width="14.42578125" style="261" bestFit="1" customWidth="1"/>
    <col min="8724" max="8724" width="13.42578125" style="261" bestFit="1" customWidth="1"/>
    <col min="8725" max="8964" width="9.140625" style="261"/>
    <col min="8965" max="8965" width="40.42578125" style="261" customWidth="1"/>
    <col min="8966" max="8969" width="19.7109375" style="261" bestFit="1" customWidth="1"/>
    <col min="8970" max="8970" width="24.42578125" style="261" bestFit="1" customWidth="1"/>
    <col min="8971" max="8971" width="19.7109375" style="261" bestFit="1" customWidth="1"/>
    <col min="8972" max="8974" width="15.7109375" style="261" customWidth="1"/>
    <col min="8975" max="8976" width="0" style="261" hidden="1" customWidth="1"/>
    <col min="8977" max="8977" width="18.5703125" style="261" customWidth="1"/>
    <col min="8978" max="8978" width="16.140625" style="261" customWidth="1"/>
    <col min="8979" max="8979" width="14.42578125" style="261" bestFit="1" customWidth="1"/>
    <col min="8980" max="8980" width="13.42578125" style="261" bestFit="1" customWidth="1"/>
    <col min="8981" max="9220" width="9.140625" style="261"/>
    <col min="9221" max="9221" width="40.42578125" style="261" customWidth="1"/>
    <col min="9222" max="9225" width="19.7109375" style="261" bestFit="1" customWidth="1"/>
    <col min="9226" max="9226" width="24.42578125" style="261" bestFit="1" customWidth="1"/>
    <col min="9227" max="9227" width="19.7109375" style="261" bestFit="1" customWidth="1"/>
    <col min="9228" max="9230" width="15.7109375" style="261" customWidth="1"/>
    <col min="9231" max="9232" width="0" style="261" hidden="1" customWidth="1"/>
    <col min="9233" max="9233" width="18.5703125" style="261" customWidth="1"/>
    <col min="9234" max="9234" width="16.140625" style="261" customWidth="1"/>
    <col min="9235" max="9235" width="14.42578125" style="261" bestFit="1" customWidth="1"/>
    <col min="9236" max="9236" width="13.42578125" style="261" bestFit="1" customWidth="1"/>
    <col min="9237" max="9476" width="9.140625" style="261"/>
    <col min="9477" max="9477" width="40.42578125" style="261" customWidth="1"/>
    <col min="9478" max="9481" width="19.7109375" style="261" bestFit="1" customWidth="1"/>
    <col min="9482" max="9482" width="24.42578125" style="261" bestFit="1" customWidth="1"/>
    <col min="9483" max="9483" width="19.7109375" style="261" bestFit="1" customWidth="1"/>
    <col min="9484" max="9486" width="15.7109375" style="261" customWidth="1"/>
    <col min="9487" max="9488" width="0" style="261" hidden="1" customWidth="1"/>
    <col min="9489" max="9489" width="18.5703125" style="261" customWidth="1"/>
    <col min="9490" max="9490" width="16.140625" style="261" customWidth="1"/>
    <col min="9491" max="9491" width="14.42578125" style="261" bestFit="1" customWidth="1"/>
    <col min="9492" max="9492" width="13.42578125" style="261" bestFit="1" customWidth="1"/>
    <col min="9493" max="9732" width="9.140625" style="261"/>
    <col min="9733" max="9733" width="40.42578125" style="261" customWidth="1"/>
    <col min="9734" max="9737" width="19.7109375" style="261" bestFit="1" customWidth="1"/>
    <col min="9738" max="9738" width="24.42578125" style="261" bestFit="1" customWidth="1"/>
    <col min="9739" max="9739" width="19.7109375" style="261" bestFit="1" customWidth="1"/>
    <col min="9740" max="9742" width="15.7109375" style="261" customWidth="1"/>
    <col min="9743" max="9744" width="0" style="261" hidden="1" customWidth="1"/>
    <col min="9745" max="9745" width="18.5703125" style="261" customWidth="1"/>
    <col min="9746" max="9746" width="16.140625" style="261" customWidth="1"/>
    <col min="9747" max="9747" width="14.42578125" style="261" bestFit="1" customWidth="1"/>
    <col min="9748" max="9748" width="13.42578125" style="261" bestFit="1" customWidth="1"/>
    <col min="9749" max="9988" width="9.140625" style="261"/>
    <col min="9989" max="9989" width="40.42578125" style="261" customWidth="1"/>
    <col min="9990" max="9993" width="19.7109375" style="261" bestFit="1" customWidth="1"/>
    <col min="9994" max="9994" width="24.42578125" style="261" bestFit="1" customWidth="1"/>
    <col min="9995" max="9995" width="19.7109375" style="261" bestFit="1" customWidth="1"/>
    <col min="9996" max="9998" width="15.7109375" style="261" customWidth="1"/>
    <col min="9999" max="10000" width="0" style="261" hidden="1" customWidth="1"/>
    <col min="10001" max="10001" width="18.5703125" style="261" customWidth="1"/>
    <col min="10002" max="10002" width="16.140625" style="261" customWidth="1"/>
    <col min="10003" max="10003" width="14.42578125" style="261" bestFit="1" customWidth="1"/>
    <col min="10004" max="10004" width="13.42578125" style="261" bestFit="1" customWidth="1"/>
    <col min="10005" max="10244" width="9.140625" style="261"/>
    <col min="10245" max="10245" width="40.42578125" style="261" customWidth="1"/>
    <col min="10246" max="10249" width="19.7109375" style="261" bestFit="1" customWidth="1"/>
    <col min="10250" max="10250" width="24.42578125" style="261" bestFit="1" customWidth="1"/>
    <col min="10251" max="10251" width="19.7109375" style="261" bestFit="1" customWidth="1"/>
    <col min="10252" max="10254" width="15.7109375" style="261" customWidth="1"/>
    <col min="10255" max="10256" width="0" style="261" hidden="1" customWidth="1"/>
    <col min="10257" max="10257" width="18.5703125" style="261" customWidth="1"/>
    <col min="10258" max="10258" width="16.140625" style="261" customWidth="1"/>
    <col min="10259" max="10259" width="14.42578125" style="261" bestFit="1" customWidth="1"/>
    <col min="10260" max="10260" width="13.42578125" style="261" bestFit="1" customWidth="1"/>
    <col min="10261" max="10500" width="9.140625" style="261"/>
    <col min="10501" max="10501" width="40.42578125" style="261" customWidth="1"/>
    <col min="10502" max="10505" width="19.7109375" style="261" bestFit="1" customWidth="1"/>
    <col min="10506" max="10506" width="24.42578125" style="261" bestFit="1" customWidth="1"/>
    <col min="10507" max="10507" width="19.7109375" style="261" bestFit="1" customWidth="1"/>
    <col min="10508" max="10510" width="15.7109375" style="261" customWidth="1"/>
    <col min="10511" max="10512" width="0" style="261" hidden="1" customWidth="1"/>
    <col min="10513" max="10513" width="18.5703125" style="261" customWidth="1"/>
    <col min="10514" max="10514" width="16.140625" style="261" customWidth="1"/>
    <col min="10515" max="10515" width="14.42578125" style="261" bestFit="1" customWidth="1"/>
    <col min="10516" max="10516" width="13.42578125" style="261" bestFit="1" customWidth="1"/>
    <col min="10517" max="10756" width="9.140625" style="261"/>
    <col min="10757" max="10757" width="40.42578125" style="261" customWidth="1"/>
    <col min="10758" max="10761" width="19.7109375" style="261" bestFit="1" customWidth="1"/>
    <col min="10762" max="10762" width="24.42578125" style="261" bestFit="1" customWidth="1"/>
    <col min="10763" max="10763" width="19.7109375" style="261" bestFit="1" customWidth="1"/>
    <col min="10764" max="10766" width="15.7109375" style="261" customWidth="1"/>
    <col min="10767" max="10768" width="0" style="261" hidden="1" customWidth="1"/>
    <col min="10769" max="10769" width="18.5703125" style="261" customWidth="1"/>
    <col min="10770" max="10770" width="16.140625" style="261" customWidth="1"/>
    <col min="10771" max="10771" width="14.42578125" style="261" bestFit="1" customWidth="1"/>
    <col min="10772" max="10772" width="13.42578125" style="261" bestFit="1" customWidth="1"/>
    <col min="10773" max="11012" width="9.140625" style="261"/>
    <col min="11013" max="11013" width="40.42578125" style="261" customWidth="1"/>
    <col min="11014" max="11017" width="19.7109375" style="261" bestFit="1" customWidth="1"/>
    <col min="11018" max="11018" width="24.42578125" style="261" bestFit="1" customWidth="1"/>
    <col min="11019" max="11019" width="19.7109375" style="261" bestFit="1" customWidth="1"/>
    <col min="11020" max="11022" width="15.7109375" style="261" customWidth="1"/>
    <col min="11023" max="11024" width="0" style="261" hidden="1" customWidth="1"/>
    <col min="11025" max="11025" width="18.5703125" style="261" customWidth="1"/>
    <col min="11026" max="11026" width="16.140625" style="261" customWidth="1"/>
    <col min="11027" max="11027" width="14.42578125" style="261" bestFit="1" customWidth="1"/>
    <col min="11028" max="11028" width="13.42578125" style="261" bestFit="1" customWidth="1"/>
    <col min="11029" max="11268" width="9.140625" style="261"/>
    <col min="11269" max="11269" width="40.42578125" style="261" customWidth="1"/>
    <col min="11270" max="11273" width="19.7109375" style="261" bestFit="1" customWidth="1"/>
    <col min="11274" max="11274" width="24.42578125" style="261" bestFit="1" customWidth="1"/>
    <col min="11275" max="11275" width="19.7109375" style="261" bestFit="1" customWidth="1"/>
    <col min="11276" max="11278" width="15.7109375" style="261" customWidth="1"/>
    <col min="11279" max="11280" width="0" style="261" hidden="1" customWidth="1"/>
    <col min="11281" max="11281" width="18.5703125" style="261" customWidth="1"/>
    <col min="11282" max="11282" width="16.140625" style="261" customWidth="1"/>
    <col min="11283" max="11283" width="14.42578125" style="261" bestFit="1" customWidth="1"/>
    <col min="11284" max="11284" width="13.42578125" style="261" bestFit="1" customWidth="1"/>
    <col min="11285" max="11524" width="9.140625" style="261"/>
    <col min="11525" max="11525" width="40.42578125" style="261" customWidth="1"/>
    <col min="11526" max="11529" width="19.7109375" style="261" bestFit="1" customWidth="1"/>
    <col min="11530" max="11530" width="24.42578125" style="261" bestFit="1" customWidth="1"/>
    <col min="11531" max="11531" width="19.7109375" style="261" bestFit="1" customWidth="1"/>
    <col min="11532" max="11534" width="15.7109375" style="261" customWidth="1"/>
    <col min="11535" max="11536" width="0" style="261" hidden="1" customWidth="1"/>
    <col min="11537" max="11537" width="18.5703125" style="261" customWidth="1"/>
    <col min="11538" max="11538" width="16.140625" style="261" customWidth="1"/>
    <col min="11539" max="11539" width="14.42578125" style="261" bestFit="1" customWidth="1"/>
    <col min="11540" max="11540" width="13.42578125" style="261" bestFit="1" customWidth="1"/>
    <col min="11541" max="11780" width="9.140625" style="261"/>
    <col min="11781" max="11781" width="40.42578125" style="261" customWidth="1"/>
    <col min="11782" max="11785" width="19.7109375" style="261" bestFit="1" customWidth="1"/>
    <col min="11786" max="11786" width="24.42578125" style="261" bestFit="1" customWidth="1"/>
    <col min="11787" max="11787" width="19.7109375" style="261" bestFit="1" customWidth="1"/>
    <col min="11788" max="11790" width="15.7109375" style="261" customWidth="1"/>
    <col min="11791" max="11792" width="0" style="261" hidden="1" customWidth="1"/>
    <col min="11793" max="11793" width="18.5703125" style="261" customWidth="1"/>
    <col min="11794" max="11794" width="16.140625" style="261" customWidth="1"/>
    <col min="11795" max="11795" width="14.42578125" style="261" bestFit="1" customWidth="1"/>
    <col min="11796" max="11796" width="13.42578125" style="261" bestFit="1" customWidth="1"/>
    <col min="11797" max="12036" width="9.140625" style="261"/>
    <col min="12037" max="12037" width="40.42578125" style="261" customWidth="1"/>
    <col min="12038" max="12041" width="19.7109375" style="261" bestFit="1" customWidth="1"/>
    <col min="12042" max="12042" width="24.42578125" style="261" bestFit="1" customWidth="1"/>
    <col min="12043" max="12043" width="19.7109375" style="261" bestFit="1" customWidth="1"/>
    <col min="12044" max="12046" width="15.7109375" style="261" customWidth="1"/>
    <col min="12047" max="12048" width="0" style="261" hidden="1" customWidth="1"/>
    <col min="12049" max="12049" width="18.5703125" style="261" customWidth="1"/>
    <col min="12050" max="12050" width="16.140625" style="261" customWidth="1"/>
    <col min="12051" max="12051" width="14.42578125" style="261" bestFit="1" customWidth="1"/>
    <col min="12052" max="12052" width="13.42578125" style="261" bestFit="1" customWidth="1"/>
    <col min="12053" max="12292" width="9.140625" style="261"/>
    <col min="12293" max="12293" width="40.42578125" style="261" customWidth="1"/>
    <col min="12294" max="12297" width="19.7109375" style="261" bestFit="1" customWidth="1"/>
    <col min="12298" max="12298" width="24.42578125" style="261" bestFit="1" customWidth="1"/>
    <col min="12299" max="12299" width="19.7109375" style="261" bestFit="1" customWidth="1"/>
    <col min="12300" max="12302" width="15.7109375" style="261" customWidth="1"/>
    <col min="12303" max="12304" width="0" style="261" hidden="1" customWidth="1"/>
    <col min="12305" max="12305" width="18.5703125" style="261" customWidth="1"/>
    <col min="12306" max="12306" width="16.140625" style="261" customWidth="1"/>
    <col min="12307" max="12307" width="14.42578125" style="261" bestFit="1" customWidth="1"/>
    <col min="12308" max="12308" width="13.42578125" style="261" bestFit="1" customWidth="1"/>
    <col min="12309" max="12548" width="9.140625" style="261"/>
    <col min="12549" max="12549" width="40.42578125" style="261" customWidth="1"/>
    <col min="12550" max="12553" width="19.7109375" style="261" bestFit="1" customWidth="1"/>
    <col min="12554" max="12554" width="24.42578125" style="261" bestFit="1" customWidth="1"/>
    <col min="12555" max="12555" width="19.7109375" style="261" bestFit="1" customWidth="1"/>
    <col min="12556" max="12558" width="15.7109375" style="261" customWidth="1"/>
    <col min="12559" max="12560" width="0" style="261" hidden="1" customWidth="1"/>
    <col min="12561" max="12561" width="18.5703125" style="261" customWidth="1"/>
    <col min="12562" max="12562" width="16.140625" style="261" customWidth="1"/>
    <col min="12563" max="12563" width="14.42578125" style="261" bestFit="1" customWidth="1"/>
    <col min="12564" max="12564" width="13.42578125" style="261" bestFit="1" customWidth="1"/>
    <col min="12565" max="12804" width="9.140625" style="261"/>
    <col min="12805" max="12805" width="40.42578125" style="261" customWidth="1"/>
    <col min="12806" max="12809" width="19.7109375" style="261" bestFit="1" customWidth="1"/>
    <col min="12810" max="12810" width="24.42578125" style="261" bestFit="1" customWidth="1"/>
    <col min="12811" max="12811" width="19.7109375" style="261" bestFit="1" customWidth="1"/>
    <col min="12812" max="12814" width="15.7109375" style="261" customWidth="1"/>
    <col min="12815" max="12816" width="0" style="261" hidden="1" customWidth="1"/>
    <col min="12817" max="12817" width="18.5703125" style="261" customWidth="1"/>
    <col min="12818" max="12818" width="16.140625" style="261" customWidth="1"/>
    <col min="12819" max="12819" width="14.42578125" style="261" bestFit="1" customWidth="1"/>
    <col min="12820" max="12820" width="13.42578125" style="261" bestFit="1" customWidth="1"/>
    <col min="12821" max="13060" width="9.140625" style="261"/>
    <col min="13061" max="13061" width="40.42578125" style="261" customWidth="1"/>
    <col min="13062" max="13065" width="19.7109375" style="261" bestFit="1" customWidth="1"/>
    <col min="13066" max="13066" width="24.42578125" style="261" bestFit="1" customWidth="1"/>
    <col min="13067" max="13067" width="19.7109375" style="261" bestFit="1" customWidth="1"/>
    <col min="13068" max="13070" width="15.7109375" style="261" customWidth="1"/>
    <col min="13071" max="13072" width="0" style="261" hidden="1" customWidth="1"/>
    <col min="13073" max="13073" width="18.5703125" style="261" customWidth="1"/>
    <col min="13074" max="13074" width="16.140625" style="261" customWidth="1"/>
    <col min="13075" max="13075" width="14.42578125" style="261" bestFit="1" customWidth="1"/>
    <col min="13076" max="13076" width="13.42578125" style="261" bestFit="1" customWidth="1"/>
    <col min="13077" max="13316" width="9.140625" style="261"/>
    <col min="13317" max="13317" width="40.42578125" style="261" customWidth="1"/>
    <col min="13318" max="13321" width="19.7109375" style="261" bestFit="1" customWidth="1"/>
    <col min="13322" max="13322" width="24.42578125" style="261" bestFit="1" customWidth="1"/>
    <col min="13323" max="13323" width="19.7109375" style="261" bestFit="1" customWidth="1"/>
    <col min="13324" max="13326" width="15.7109375" style="261" customWidth="1"/>
    <col min="13327" max="13328" width="0" style="261" hidden="1" customWidth="1"/>
    <col min="13329" max="13329" width="18.5703125" style="261" customWidth="1"/>
    <col min="13330" max="13330" width="16.140625" style="261" customWidth="1"/>
    <col min="13331" max="13331" width="14.42578125" style="261" bestFit="1" customWidth="1"/>
    <col min="13332" max="13332" width="13.42578125" style="261" bestFit="1" customWidth="1"/>
    <col min="13333" max="13572" width="9.140625" style="261"/>
    <col min="13573" max="13573" width="40.42578125" style="261" customWidth="1"/>
    <col min="13574" max="13577" width="19.7109375" style="261" bestFit="1" customWidth="1"/>
    <col min="13578" max="13578" width="24.42578125" style="261" bestFit="1" customWidth="1"/>
    <col min="13579" max="13579" width="19.7109375" style="261" bestFit="1" customWidth="1"/>
    <col min="13580" max="13582" width="15.7109375" style="261" customWidth="1"/>
    <col min="13583" max="13584" width="0" style="261" hidden="1" customWidth="1"/>
    <col min="13585" max="13585" width="18.5703125" style="261" customWidth="1"/>
    <col min="13586" max="13586" width="16.140625" style="261" customWidth="1"/>
    <col min="13587" max="13587" width="14.42578125" style="261" bestFit="1" customWidth="1"/>
    <col min="13588" max="13588" width="13.42578125" style="261" bestFit="1" customWidth="1"/>
    <col min="13589" max="13828" width="9.140625" style="261"/>
    <col min="13829" max="13829" width="40.42578125" style="261" customWidth="1"/>
    <col min="13830" max="13833" width="19.7109375" style="261" bestFit="1" customWidth="1"/>
    <col min="13834" max="13834" width="24.42578125" style="261" bestFit="1" customWidth="1"/>
    <col min="13835" max="13835" width="19.7109375" style="261" bestFit="1" customWidth="1"/>
    <col min="13836" max="13838" width="15.7109375" style="261" customWidth="1"/>
    <col min="13839" max="13840" width="0" style="261" hidden="1" customWidth="1"/>
    <col min="13841" max="13841" width="18.5703125" style="261" customWidth="1"/>
    <col min="13842" max="13842" width="16.140625" style="261" customWidth="1"/>
    <col min="13843" max="13843" width="14.42578125" style="261" bestFit="1" customWidth="1"/>
    <col min="13844" max="13844" width="13.42578125" style="261" bestFit="1" customWidth="1"/>
    <col min="13845" max="14084" width="9.140625" style="261"/>
    <col min="14085" max="14085" width="40.42578125" style="261" customWidth="1"/>
    <col min="14086" max="14089" width="19.7109375" style="261" bestFit="1" customWidth="1"/>
    <col min="14090" max="14090" width="24.42578125" style="261" bestFit="1" customWidth="1"/>
    <col min="14091" max="14091" width="19.7109375" style="261" bestFit="1" customWidth="1"/>
    <col min="14092" max="14094" width="15.7109375" style="261" customWidth="1"/>
    <col min="14095" max="14096" width="0" style="261" hidden="1" customWidth="1"/>
    <col min="14097" max="14097" width="18.5703125" style="261" customWidth="1"/>
    <col min="14098" max="14098" width="16.140625" style="261" customWidth="1"/>
    <col min="14099" max="14099" width="14.42578125" style="261" bestFit="1" customWidth="1"/>
    <col min="14100" max="14100" width="13.42578125" style="261" bestFit="1" customWidth="1"/>
    <col min="14101" max="14340" width="9.140625" style="261"/>
    <col min="14341" max="14341" width="40.42578125" style="261" customWidth="1"/>
    <col min="14342" max="14345" width="19.7109375" style="261" bestFit="1" customWidth="1"/>
    <col min="14346" max="14346" width="24.42578125" style="261" bestFit="1" customWidth="1"/>
    <col min="14347" max="14347" width="19.7109375" style="261" bestFit="1" customWidth="1"/>
    <col min="14348" max="14350" width="15.7109375" style="261" customWidth="1"/>
    <col min="14351" max="14352" width="0" style="261" hidden="1" customWidth="1"/>
    <col min="14353" max="14353" width="18.5703125" style="261" customWidth="1"/>
    <col min="14354" max="14354" width="16.140625" style="261" customWidth="1"/>
    <col min="14355" max="14355" width="14.42578125" style="261" bestFit="1" customWidth="1"/>
    <col min="14356" max="14356" width="13.42578125" style="261" bestFit="1" customWidth="1"/>
    <col min="14357" max="14596" width="9.140625" style="261"/>
    <col min="14597" max="14597" width="40.42578125" style="261" customWidth="1"/>
    <col min="14598" max="14601" width="19.7109375" style="261" bestFit="1" customWidth="1"/>
    <col min="14602" max="14602" width="24.42578125" style="261" bestFit="1" customWidth="1"/>
    <col min="14603" max="14603" width="19.7109375" style="261" bestFit="1" customWidth="1"/>
    <col min="14604" max="14606" width="15.7109375" style="261" customWidth="1"/>
    <col min="14607" max="14608" width="0" style="261" hidden="1" customWidth="1"/>
    <col min="14609" max="14609" width="18.5703125" style="261" customWidth="1"/>
    <col min="14610" max="14610" width="16.140625" style="261" customWidth="1"/>
    <col min="14611" max="14611" width="14.42578125" style="261" bestFit="1" customWidth="1"/>
    <col min="14612" max="14612" width="13.42578125" style="261" bestFit="1" customWidth="1"/>
    <col min="14613" max="14852" width="9.140625" style="261"/>
    <col min="14853" max="14853" width="40.42578125" style="261" customWidth="1"/>
    <col min="14854" max="14857" width="19.7109375" style="261" bestFit="1" customWidth="1"/>
    <col min="14858" max="14858" width="24.42578125" style="261" bestFit="1" customWidth="1"/>
    <col min="14859" max="14859" width="19.7109375" style="261" bestFit="1" customWidth="1"/>
    <col min="14860" max="14862" width="15.7109375" style="261" customWidth="1"/>
    <col min="14863" max="14864" width="0" style="261" hidden="1" customWidth="1"/>
    <col min="14865" max="14865" width="18.5703125" style="261" customWidth="1"/>
    <col min="14866" max="14866" width="16.140625" style="261" customWidth="1"/>
    <col min="14867" max="14867" width="14.42578125" style="261" bestFit="1" customWidth="1"/>
    <col min="14868" max="14868" width="13.42578125" style="261" bestFit="1" customWidth="1"/>
    <col min="14869" max="15108" width="9.140625" style="261"/>
    <col min="15109" max="15109" width="40.42578125" style="261" customWidth="1"/>
    <col min="15110" max="15113" width="19.7109375" style="261" bestFit="1" customWidth="1"/>
    <col min="15114" max="15114" width="24.42578125" style="261" bestFit="1" customWidth="1"/>
    <col min="15115" max="15115" width="19.7109375" style="261" bestFit="1" customWidth="1"/>
    <col min="15116" max="15118" width="15.7109375" style="261" customWidth="1"/>
    <col min="15119" max="15120" width="0" style="261" hidden="1" customWidth="1"/>
    <col min="15121" max="15121" width="18.5703125" style="261" customWidth="1"/>
    <col min="15122" max="15122" width="16.140625" style="261" customWidth="1"/>
    <col min="15123" max="15123" width="14.42578125" style="261" bestFit="1" customWidth="1"/>
    <col min="15124" max="15124" width="13.42578125" style="261" bestFit="1" customWidth="1"/>
    <col min="15125" max="15364" width="9.140625" style="261"/>
    <col min="15365" max="15365" width="40.42578125" style="261" customWidth="1"/>
    <col min="15366" max="15369" width="19.7109375" style="261" bestFit="1" customWidth="1"/>
    <col min="15370" max="15370" width="24.42578125" style="261" bestFit="1" customWidth="1"/>
    <col min="15371" max="15371" width="19.7109375" style="261" bestFit="1" customWidth="1"/>
    <col min="15372" max="15374" width="15.7109375" style="261" customWidth="1"/>
    <col min="15375" max="15376" width="0" style="261" hidden="1" customWidth="1"/>
    <col min="15377" max="15377" width="18.5703125" style="261" customWidth="1"/>
    <col min="15378" max="15378" width="16.140625" style="261" customWidth="1"/>
    <col min="15379" max="15379" width="14.42578125" style="261" bestFit="1" customWidth="1"/>
    <col min="15380" max="15380" width="13.42578125" style="261" bestFit="1" customWidth="1"/>
    <col min="15381" max="15620" width="9.140625" style="261"/>
    <col min="15621" max="15621" width="40.42578125" style="261" customWidth="1"/>
    <col min="15622" max="15625" width="19.7109375" style="261" bestFit="1" customWidth="1"/>
    <col min="15626" max="15626" width="24.42578125" style="261" bestFit="1" customWidth="1"/>
    <col min="15627" max="15627" width="19.7109375" style="261" bestFit="1" customWidth="1"/>
    <col min="15628" max="15630" width="15.7109375" style="261" customWidth="1"/>
    <col min="15631" max="15632" width="0" style="261" hidden="1" customWidth="1"/>
    <col min="15633" max="15633" width="18.5703125" style="261" customWidth="1"/>
    <col min="15634" max="15634" width="16.140625" style="261" customWidth="1"/>
    <col min="15635" max="15635" width="14.42578125" style="261" bestFit="1" customWidth="1"/>
    <col min="15636" max="15636" width="13.42578125" style="261" bestFit="1" customWidth="1"/>
    <col min="15637" max="15876" width="9.140625" style="261"/>
    <col min="15877" max="15877" width="40.42578125" style="261" customWidth="1"/>
    <col min="15878" max="15881" width="19.7109375" style="261" bestFit="1" customWidth="1"/>
    <col min="15882" max="15882" width="24.42578125" style="261" bestFit="1" customWidth="1"/>
    <col min="15883" max="15883" width="19.7109375" style="261" bestFit="1" customWidth="1"/>
    <col min="15884" max="15886" width="15.7109375" style="261" customWidth="1"/>
    <col min="15887" max="15888" width="0" style="261" hidden="1" customWidth="1"/>
    <col min="15889" max="15889" width="18.5703125" style="261" customWidth="1"/>
    <col min="15890" max="15890" width="16.140625" style="261" customWidth="1"/>
    <col min="15891" max="15891" width="14.42578125" style="261" bestFit="1" customWidth="1"/>
    <col min="15892" max="15892" width="13.42578125" style="261" bestFit="1" customWidth="1"/>
    <col min="15893" max="16132" width="9.140625" style="261"/>
    <col min="16133" max="16133" width="40.42578125" style="261" customWidth="1"/>
    <col min="16134" max="16137" width="19.7109375" style="261" bestFit="1" customWidth="1"/>
    <col min="16138" max="16138" width="24.42578125" style="261" bestFit="1" customWidth="1"/>
    <col min="16139" max="16139" width="19.7109375" style="261" bestFit="1" customWidth="1"/>
    <col min="16140" max="16142" width="15.7109375" style="261" customWidth="1"/>
    <col min="16143" max="16144" width="0" style="261" hidden="1" customWidth="1"/>
    <col min="16145" max="16145" width="18.5703125" style="261" customWidth="1"/>
    <col min="16146" max="16146" width="16.140625" style="261" customWidth="1"/>
    <col min="16147" max="16147" width="14.42578125" style="261" bestFit="1" customWidth="1"/>
    <col min="16148" max="16148" width="13.42578125" style="261" bestFit="1" customWidth="1"/>
    <col min="16149" max="16384" width="9.140625" style="261"/>
  </cols>
  <sheetData>
    <row r="1" spans="1:28" s="257" customFormat="1" ht="4.5" customHeight="1">
      <c r="A1" s="1044"/>
      <c r="B1" s="1044"/>
      <c r="C1" s="1045"/>
      <c r="D1" s="1045"/>
      <c r="E1" s="256"/>
      <c r="J1" s="1309"/>
      <c r="K1" s="1310"/>
      <c r="L1" s="258"/>
      <c r="M1" s="258"/>
      <c r="N1" s="258"/>
      <c r="O1" s="258"/>
      <c r="P1" s="258"/>
      <c r="Q1" s="258"/>
      <c r="R1" s="258"/>
    </row>
    <row r="2" spans="1:28" ht="44.25" customHeight="1">
      <c r="A2" s="1044"/>
      <c r="B2" s="1046"/>
      <c r="E2" s="1311" t="s">
        <v>222</v>
      </c>
      <c r="F2" s="1311"/>
      <c r="G2" s="1311"/>
      <c r="H2" s="1311"/>
      <c r="I2" s="1311"/>
      <c r="J2" s="1311"/>
      <c r="K2" s="1311"/>
      <c r="L2" s="260"/>
      <c r="M2" s="260"/>
      <c r="N2" s="260"/>
      <c r="O2" s="260"/>
      <c r="P2" s="260"/>
      <c r="S2" s="261"/>
      <c r="T2" s="261"/>
      <c r="U2" s="261"/>
      <c r="V2" s="261"/>
      <c r="W2" s="261"/>
      <c r="X2" s="261"/>
      <c r="Y2" s="261"/>
      <c r="Z2" s="261"/>
      <c r="AA2" s="261"/>
      <c r="AB2" s="261"/>
    </row>
    <row r="3" spans="1:28" ht="18" customHeight="1">
      <c r="A3" s="1044"/>
      <c r="B3" s="1046"/>
      <c r="E3" s="262" t="str">
        <f>"Období: " &amp; [5]Druhova!B1</f>
        <v>Období: 012.2015</v>
      </c>
      <c r="F3" s="259"/>
      <c r="G3" s="259"/>
      <c r="H3" s="259"/>
      <c r="I3" s="259"/>
      <c r="J3" s="259"/>
      <c r="K3" s="259"/>
      <c r="L3" s="260"/>
      <c r="M3" s="260"/>
      <c r="N3" s="260"/>
      <c r="O3" s="260"/>
      <c r="P3" s="260"/>
      <c r="S3" s="261"/>
      <c r="T3" s="261"/>
      <c r="U3" s="261"/>
      <c r="V3" s="261"/>
      <c r="W3" s="261"/>
      <c r="X3" s="261"/>
      <c r="Y3" s="261"/>
      <c r="Z3" s="261"/>
      <c r="AA3" s="261"/>
      <c r="AB3" s="261"/>
    </row>
    <row r="4" spans="1:28" ht="13.5" customHeight="1" thickBot="1">
      <c r="A4" s="1047"/>
      <c r="B4" s="1047"/>
      <c r="E4" s="355" t="str">
        <f>CONCATENATE("KAPITOLA:",[5]Hlavicka!I3)</f>
        <v>KAPITOLA:314 Ministerstvo vnitra</v>
      </c>
      <c r="F4" s="354"/>
      <c r="G4" s="354"/>
      <c r="H4" s="354"/>
      <c r="I4" s="354"/>
      <c r="J4" s="354"/>
      <c r="K4" s="356" t="str">
        <f>[5]Druhova!B2</f>
        <v>v tis.Kč</v>
      </c>
      <c r="L4" s="260"/>
      <c r="M4" s="260"/>
      <c r="N4" s="260"/>
      <c r="O4" s="260"/>
      <c r="P4" s="260"/>
      <c r="S4" s="261"/>
      <c r="T4" s="261"/>
      <c r="U4" s="261"/>
      <c r="V4" s="261"/>
      <c r="W4" s="261"/>
      <c r="X4" s="261"/>
      <c r="Y4" s="261"/>
      <c r="Z4" s="261"/>
      <c r="AA4" s="261"/>
      <c r="AB4" s="261"/>
    </row>
    <row r="5" spans="1:28" ht="15" customHeight="1">
      <c r="A5" s="1048"/>
      <c r="B5" s="1049"/>
      <c r="C5" s="1049"/>
      <c r="D5" s="1049"/>
      <c r="E5" s="263"/>
      <c r="F5" s="264"/>
      <c r="G5" s="1129" t="str">
        <f>CONCATENATE("R O Z P O Č E T   ",[5]Druhova!B1)</f>
        <v>R O Z P O Č E T   012.2015</v>
      </c>
      <c r="H5" s="1130"/>
      <c r="I5" s="264"/>
      <c r="J5" s="265" t="s">
        <v>223</v>
      </c>
      <c r="K5" s="266" t="s">
        <v>224</v>
      </c>
      <c r="L5" s="260"/>
      <c r="M5" s="260"/>
      <c r="N5" s="260"/>
      <c r="O5" s="260"/>
      <c r="P5" s="260"/>
      <c r="S5" s="261"/>
      <c r="T5" s="261"/>
      <c r="U5" s="261"/>
      <c r="V5" s="261"/>
      <c r="W5" s="261"/>
      <c r="X5" s="261"/>
      <c r="Y5" s="261"/>
      <c r="Z5" s="261"/>
      <c r="AA5" s="261"/>
      <c r="AB5" s="261"/>
    </row>
    <row r="6" spans="1:28" ht="22.5">
      <c r="A6" s="1050" t="s">
        <v>745</v>
      </c>
      <c r="B6" s="1051" t="s">
        <v>746</v>
      </c>
      <c r="C6" s="1052" t="s">
        <v>747</v>
      </c>
      <c r="D6" s="1052" t="s">
        <v>748</v>
      </c>
      <c r="E6" s="267" t="s">
        <v>225</v>
      </c>
      <c r="F6" s="1315" t="str">
        <f>CONCATENATE("Skutečnost ",[5]Druhova!C1)</f>
        <v>Skutečnost 012.2014</v>
      </c>
      <c r="G6" s="268" t="s">
        <v>226</v>
      </c>
      <c r="H6" s="269" t="s">
        <v>227</v>
      </c>
      <c r="I6" s="1315" t="str">
        <f>CONCATENATE("Skutečnost ",[5]Druhova!B1)</f>
        <v>Skutečnost 012.2015</v>
      </c>
      <c r="J6" s="270" t="s">
        <v>228</v>
      </c>
      <c r="K6" s="1128" t="str">
        <f>[5]Druhova!B3</f>
        <v>Sk012.2015/Sk012.2014</v>
      </c>
      <c r="L6" s="260"/>
      <c r="M6" s="260"/>
      <c r="N6" s="260"/>
      <c r="O6" s="260"/>
      <c r="P6" s="260"/>
      <c r="S6" s="261"/>
      <c r="T6" s="261"/>
      <c r="U6" s="261"/>
      <c r="V6" s="261"/>
      <c r="W6" s="261"/>
      <c r="X6" s="261"/>
      <c r="Y6" s="261"/>
      <c r="Z6" s="261"/>
      <c r="AA6" s="261"/>
      <c r="AB6" s="261"/>
    </row>
    <row r="7" spans="1:28" ht="12.95" customHeight="1">
      <c r="A7" s="1053"/>
      <c r="B7" s="1052" t="s">
        <v>749</v>
      </c>
      <c r="C7" s="1052" t="s">
        <v>749</v>
      </c>
      <c r="D7" s="1052"/>
      <c r="E7" s="271"/>
      <c r="F7" s="1316"/>
      <c r="G7" s="272" t="s">
        <v>229</v>
      </c>
      <c r="H7" s="273" t="s">
        <v>2</v>
      </c>
      <c r="I7" s="1316"/>
      <c r="J7" s="274" t="s">
        <v>230</v>
      </c>
      <c r="K7" s="275" t="s">
        <v>231</v>
      </c>
      <c r="L7" s="260"/>
      <c r="M7" s="260"/>
      <c r="N7" s="260"/>
      <c r="O7" s="260"/>
      <c r="P7" s="260"/>
      <c r="S7" s="261"/>
      <c r="T7" s="261"/>
      <c r="U7" s="261"/>
      <c r="V7" s="261"/>
      <c r="W7" s="261"/>
      <c r="X7" s="261"/>
      <c r="Y7" s="261"/>
      <c r="Z7" s="261"/>
      <c r="AA7" s="261"/>
      <c r="AB7" s="261"/>
    </row>
    <row r="8" spans="1:28" ht="12.95" customHeight="1" thickBot="1">
      <c r="A8" s="1054"/>
      <c r="B8" s="1055"/>
      <c r="C8" s="1055"/>
      <c r="D8" s="1055"/>
      <c r="E8" s="276"/>
      <c r="F8" s="277">
        <v>0</v>
      </c>
      <c r="G8" s="277">
        <v>1</v>
      </c>
      <c r="H8" s="278">
        <v>2</v>
      </c>
      <c r="I8" s="277">
        <v>3</v>
      </c>
      <c r="J8" s="279">
        <v>4</v>
      </c>
      <c r="K8" s="280">
        <v>5</v>
      </c>
      <c r="L8" s="260"/>
      <c r="M8" s="260"/>
      <c r="N8" s="260"/>
      <c r="O8" s="260"/>
      <c r="P8" s="260"/>
      <c r="S8" s="261"/>
      <c r="T8" s="261"/>
      <c r="U8" s="261"/>
      <c r="V8" s="261"/>
      <c r="W8" s="261"/>
      <c r="X8" s="261"/>
      <c r="Y8" s="261"/>
      <c r="Z8" s="261"/>
      <c r="AA8" s="261"/>
      <c r="AB8" s="261"/>
    </row>
    <row r="9" spans="1:28" s="286" customFormat="1" ht="20.25" customHeight="1">
      <c r="A9" s="1056"/>
      <c r="B9" s="1057"/>
      <c r="C9" s="1058"/>
      <c r="D9" s="1059"/>
      <c r="E9" s="281" t="s">
        <v>232</v>
      </c>
      <c r="F9" s="282"/>
      <c r="G9" s="283"/>
      <c r="H9" s="283"/>
      <c r="I9" s="283"/>
      <c r="J9" s="282"/>
      <c r="K9" s="284" t="str">
        <f>IF(F9&gt;0,I9/F9*100," ")</f>
        <v xml:space="preserve"> </v>
      </c>
      <c r="L9" s="285"/>
      <c r="M9" s="285"/>
      <c r="N9" s="285"/>
      <c r="O9" s="285"/>
      <c r="P9" s="285"/>
      <c r="Q9" s="285"/>
      <c r="R9" s="285"/>
    </row>
    <row r="10" spans="1:28" ht="18.75" customHeight="1">
      <c r="A10" s="1060"/>
      <c r="B10" s="1061"/>
      <c r="C10" s="1062" t="s">
        <v>750</v>
      </c>
      <c r="D10" s="1063" t="s">
        <v>751</v>
      </c>
      <c r="E10" s="287" t="s">
        <v>233</v>
      </c>
      <c r="F10" s="288">
        <f>[5]Druhova!G5</f>
        <v>0</v>
      </c>
      <c r="G10" s="288">
        <f>[5]Druhova!B5</f>
        <v>0</v>
      </c>
      <c r="H10" s="288">
        <f>[5]Druhova!C5</f>
        <v>0</v>
      </c>
      <c r="I10" s="288">
        <f>[5]Druhova!D5</f>
        <v>0</v>
      </c>
      <c r="J10" s="288" t="str">
        <f>IF(H10=0,"",I10/H10*100)</f>
        <v/>
      </c>
      <c r="K10" s="289" t="str">
        <f>IF(F10=0,"",I10/F10*100)</f>
        <v/>
      </c>
      <c r="L10" s="260"/>
      <c r="M10" s="260"/>
      <c r="N10" s="260"/>
      <c r="O10" s="260"/>
      <c r="P10" s="260"/>
      <c r="S10" s="261"/>
      <c r="T10" s="261"/>
      <c r="U10" s="261"/>
      <c r="V10" s="261"/>
      <c r="W10" s="261"/>
      <c r="X10" s="261"/>
      <c r="Y10" s="261"/>
      <c r="Z10" s="261"/>
      <c r="AA10" s="261"/>
      <c r="AB10" s="261"/>
    </row>
    <row r="11" spans="1:28" ht="22.5" customHeight="1">
      <c r="A11" s="1060"/>
      <c r="B11" s="1061"/>
      <c r="C11" s="1062"/>
      <c r="D11" s="1064">
        <v>1111</v>
      </c>
      <c r="E11" s="287" t="s">
        <v>234</v>
      </c>
      <c r="F11" s="288">
        <f>[5]Druhova!G6</f>
        <v>0</v>
      </c>
      <c r="G11" s="288">
        <f>[5]Druhova!B6</f>
        <v>0</v>
      </c>
      <c r="H11" s="288">
        <f>[5]Druhova!C6</f>
        <v>0</v>
      </c>
      <c r="I11" s="288">
        <f>[5]Druhova!D6</f>
        <v>0</v>
      </c>
      <c r="J11" s="288" t="str">
        <f>IF(H11=0,"",I11/H11*100)</f>
        <v/>
      </c>
      <c r="K11" s="289" t="str">
        <f>IF(F11=0,"",I11/F11*100)</f>
        <v/>
      </c>
      <c r="L11" s="260"/>
      <c r="M11" s="260"/>
      <c r="N11" s="260"/>
      <c r="O11" s="260"/>
      <c r="P11" s="260"/>
      <c r="S11" s="261"/>
      <c r="T11" s="261"/>
      <c r="U11" s="261"/>
      <c r="V11" s="261"/>
      <c r="W11" s="261"/>
      <c r="X11" s="261"/>
      <c r="Y11" s="261"/>
      <c r="Z11" s="261"/>
      <c r="AA11" s="261"/>
      <c r="AB11" s="261"/>
    </row>
    <row r="12" spans="1:28" ht="22.5" customHeight="1">
      <c r="A12" s="1060"/>
      <c r="B12" s="1061"/>
      <c r="C12" s="1062"/>
      <c r="D12" s="1064">
        <v>1112</v>
      </c>
      <c r="E12" s="287" t="s">
        <v>235</v>
      </c>
      <c r="F12" s="288">
        <f>[5]Druhova!G7</f>
        <v>0</v>
      </c>
      <c r="G12" s="288">
        <f>[5]Druhova!B7</f>
        <v>0</v>
      </c>
      <c r="H12" s="288">
        <f>[5]Druhova!C7</f>
        <v>0</v>
      </c>
      <c r="I12" s="288">
        <f>[5]Druhova!D7</f>
        <v>0</v>
      </c>
      <c r="J12" s="288" t="str">
        <f>IF(H12=0,"",I12/H12*100)</f>
        <v/>
      </c>
      <c r="K12" s="289" t="str">
        <f>IF(F12=0,"",I12/F12*100)</f>
        <v/>
      </c>
      <c r="L12" s="260"/>
      <c r="M12" s="260"/>
      <c r="N12" s="260"/>
      <c r="O12" s="260"/>
      <c r="P12" s="260"/>
      <c r="S12" s="261"/>
      <c r="T12" s="261"/>
      <c r="U12" s="261"/>
      <c r="V12" s="261"/>
      <c r="W12" s="261"/>
      <c r="X12" s="261"/>
      <c r="Y12" s="261"/>
      <c r="Z12" s="261"/>
      <c r="AA12" s="261"/>
      <c r="AB12" s="261"/>
    </row>
    <row r="13" spans="1:28" ht="22.5" customHeight="1">
      <c r="A13" s="1060"/>
      <c r="B13" s="1061"/>
      <c r="C13" s="1062"/>
      <c r="D13" s="1064">
        <v>1113</v>
      </c>
      <c r="E13" s="287" t="s">
        <v>236</v>
      </c>
      <c r="F13" s="288">
        <f>[5]Druhova!G8</f>
        <v>0</v>
      </c>
      <c r="G13" s="288">
        <f>[5]Druhova!B8</f>
        <v>0</v>
      </c>
      <c r="H13" s="288">
        <f>[5]Druhova!C8</f>
        <v>0</v>
      </c>
      <c r="I13" s="288">
        <f>[5]Druhova!D8</f>
        <v>0</v>
      </c>
      <c r="J13" s="288" t="str">
        <f t="shared" ref="J13:J79" si="0">IF(H13=0,"",I13/H13*100)</f>
        <v/>
      </c>
      <c r="K13" s="289" t="str">
        <f t="shared" ref="K13:K79" si="1">IF(F13=0,"",I13/F13*100)</f>
        <v/>
      </c>
      <c r="L13" s="260"/>
      <c r="M13" s="260"/>
      <c r="N13" s="260"/>
      <c r="O13" s="260"/>
      <c r="P13" s="260"/>
      <c r="S13" s="261"/>
      <c r="T13" s="261"/>
      <c r="U13" s="261"/>
      <c r="V13" s="261"/>
      <c r="W13" s="261"/>
      <c r="X13" s="261"/>
      <c r="Y13" s="261"/>
      <c r="Z13" s="261"/>
      <c r="AA13" s="261"/>
      <c r="AB13" s="261"/>
    </row>
    <row r="14" spans="1:28" ht="22.5">
      <c r="A14" s="1060"/>
      <c r="B14" s="1062"/>
      <c r="C14" s="1062" t="s">
        <v>752</v>
      </c>
      <c r="D14" s="1063" t="s">
        <v>751</v>
      </c>
      <c r="E14" s="287" t="s">
        <v>237</v>
      </c>
      <c r="F14" s="288">
        <f>[5]Druhova!G9</f>
        <v>0</v>
      </c>
      <c r="G14" s="288">
        <f>[5]Druhova!B9</f>
        <v>0</v>
      </c>
      <c r="H14" s="288">
        <f>[5]Druhova!C9</f>
        <v>0</v>
      </c>
      <c r="I14" s="288">
        <f>[5]Druhova!D9</f>
        <v>0</v>
      </c>
      <c r="J14" s="288" t="str">
        <f t="shared" si="0"/>
        <v/>
      </c>
      <c r="K14" s="289" t="str">
        <f t="shared" si="1"/>
        <v/>
      </c>
      <c r="L14" s="260"/>
      <c r="M14" s="260"/>
      <c r="N14" s="260"/>
      <c r="O14" s="260"/>
      <c r="P14" s="260"/>
      <c r="S14" s="261"/>
      <c r="T14" s="261"/>
      <c r="U14" s="261"/>
      <c r="V14" s="261"/>
      <c r="W14" s="261"/>
      <c r="X14" s="261"/>
      <c r="Y14" s="261"/>
      <c r="Z14" s="261"/>
      <c r="AA14" s="261"/>
      <c r="AB14" s="261"/>
    </row>
    <row r="15" spans="1:28" s="286" customFormat="1" ht="33.75">
      <c r="A15" s="1065"/>
      <c r="B15" s="1066" t="s">
        <v>753</v>
      </c>
      <c r="C15" s="1067"/>
      <c r="D15" s="1068"/>
      <c r="E15" s="290" t="s">
        <v>238</v>
      </c>
      <c r="F15" s="291">
        <f>[5]Druhova!G10</f>
        <v>0</v>
      </c>
      <c r="G15" s="291">
        <f>[5]Druhova!B10</f>
        <v>0</v>
      </c>
      <c r="H15" s="291">
        <f>[5]Druhova!C10</f>
        <v>0</v>
      </c>
      <c r="I15" s="291">
        <f>[5]Druhova!D10</f>
        <v>0</v>
      </c>
      <c r="J15" s="291" t="str">
        <f t="shared" si="0"/>
        <v/>
      </c>
      <c r="K15" s="292" t="str">
        <f t="shared" si="1"/>
        <v/>
      </c>
      <c r="L15" s="285"/>
      <c r="M15" s="285"/>
      <c r="N15" s="285"/>
      <c r="O15" s="285"/>
      <c r="P15" s="285"/>
      <c r="Q15" s="285"/>
      <c r="R15" s="285"/>
    </row>
    <row r="16" spans="1:28" ht="22.5">
      <c r="A16" s="1060"/>
      <c r="B16" s="1062"/>
      <c r="C16" s="1062" t="s">
        <v>754</v>
      </c>
      <c r="D16" s="1063" t="s">
        <v>751</v>
      </c>
      <c r="E16" s="287" t="s">
        <v>239</v>
      </c>
      <c r="F16" s="288">
        <f>[5]Druhova!G11</f>
        <v>0</v>
      </c>
      <c r="G16" s="288">
        <f>[5]Druhova!B11</f>
        <v>0</v>
      </c>
      <c r="H16" s="288">
        <f>[5]Druhova!C11</f>
        <v>0</v>
      </c>
      <c r="I16" s="288">
        <f>[5]Druhova!D11</f>
        <v>0</v>
      </c>
      <c r="J16" s="288" t="str">
        <f t="shared" si="0"/>
        <v/>
      </c>
      <c r="K16" s="289" t="str">
        <f t="shared" si="1"/>
        <v/>
      </c>
      <c r="L16" s="260"/>
      <c r="M16" s="260"/>
      <c r="N16" s="260"/>
      <c r="O16" s="260"/>
      <c r="P16" s="260"/>
      <c r="S16" s="261"/>
      <c r="T16" s="261"/>
      <c r="U16" s="261"/>
      <c r="V16" s="261"/>
      <c r="W16" s="261"/>
      <c r="X16" s="261"/>
      <c r="Y16" s="261"/>
      <c r="Z16" s="261"/>
      <c r="AA16" s="261"/>
      <c r="AB16" s="261"/>
    </row>
    <row r="17" spans="1:28" ht="16.7" customHeight="1">
      <c r="A17" s="1060"/>
      <c r="B17" s="1061"/>
      <c r="C17" s="1062"/>
      <c r="D17" s="1064">
        <v>1211</v>
      </c>
      <c r="E17" s="287" t="s">
        <v>240</v>
      </c>
      <c r="F17" s="288">
        <f>[5]Druhova!G12</f>
        <v>0</v>
      </c>
      <c r="G17" s="288">
        <f>[5]Druhova!B12</f>
        <v>0</v>
      </c>
      <c r="H17" s="288">
        <f>[5]Druhova!C12</f>
        <v>0</v>
      </c>
      <c r="I17" s="288">
        <f>[5]Druhova!D12</f>
        <v>0</v>
      </c>
      <c r="J17" s="288" t="str">
        <f t="shared" si="0"/>
        <v/>
      </c>
      <c r="K17" s="289" t="str">
        <f t="shared" si="1"/>
        <v/>
      </c>
      <c r="L17" s="260"/>
      <c r="M17" s="260"/>
      <c r="N17" s="260"/>
      <c r="O17" s="260"/>
      <c r="P17" s="260"/>
      <c r="S17" s="261"/>
      <c r="T17" s="261"/>
      <c r="U17" s="261"/>
      <c r="V17" s="261"/>
      <c r="W17" s="261"/>
      <c r="X17" s="261"/>
      <c r="Y17" s="261"/>
      <c r="Z17" s="261"/>
      <c r="AA17" s="261"/>
      <c r="AB17" s="261"/>
    </row>
    <row r="18" spans="1:28" ht="16.7" customHeight="1">
      <c r="A18" s="1060"/>
      <c r="B18" s="1061"/>
      <c r="C18" s="1069" t="s">
        <v>755</v>
      </c>
      <c r="D18" s="1064"/>
      <c r="E18" s="287" t="s">
        <v>241</v>
      </c>
      <c r="F18" s="288">
        <f>[5]Druhova!G13</f>
        <v>0</v>
      </c>
      <c r="G18" s="288">
        <f>[5]Druhova!B13</f>
        <v>0</v>
      </c>
      <c r="H18" s="288">
        <f>[5]Druhova!C13</f>
        <v>0</v>
      </c>
      <c r="I18" s="288">
        <f>[5]Druhova!D13</f>
        <v>0</v>
      </c>
      <c r="J18" s="288" t="str">
        <f t="shared" si="0"/>
        <v/>
      </c>
      <c r="K18" s="289" t="str">
        <f t="shared" si="1"/>
        <v/>
      </c>
      <c r="L18" s="260"/>
      <c r="M18" s="260"/>
      <c r="N18" s="260"/>
      <c r="O18" s="260"/>
      <c r="P18" s="260"/>
      <c r="S18" s="261"/>
      <c r="T18" s="261"/>
      <c r="U18" s="261"/>
      <c r="V18" s="261"/>
      <c r="W18" s="261"/>
      <c r="X18" s="261"/>
      <c r="Y18" s="261"/>
      <c r="Z18" s="261"/>
      <c r="AA18" s="261"/>
      <c r="AB18" s="261"/>
    </row>
    <row r="19" spans="1:28" ht="16.7" customHeight="1">
      <c r="A19" s="1065"/>
      <c r="B19" s="1070" t="s">
        <v>756</v>
      </c>
      <c r="C19" s="1067"/>
      <c r="D19" s="1068"/>
      <c r="E19" s="293" t="s">
        <v>242</v>
      </c>
      <c r="F19" s="291">
        <f>[5]Druhova!G14</f>
        <v>0</v>
      </c>
      <c r="G19" s="291">
        <f>[5]Druhova!B14</f>
        <v>0</v>
      </c>
      <c r="H19" s="291">
        <f>[5]Druhova!C14</f>
        <v>0</v>
      </c>
      <c r="I19" s="291">
        <f>[5]Druhova!D14</f>
        <v>0</v>
      </c>
      <c r="J19" s="291" t="str">
        <f t="shared" si="0"/>
        <v/>
      </c>
      <c r="K19" s="292" t="str">
        <f t="shared" si="1"/>
        <v/>
      </c>
      <c r="L19" s="260"/>
      <c r="M19" s="260"/>
      <c r="N19" s="260"/>
      <c r="O19" s="260"/>
      <c r="P19" s="260"/>
      <c r="S19" s="261"/>
      <c r="T19" s="261"/>
      <c r="U19" s="261"/>
      <c r="V19" s="261"/>
      <c r="W19" s="261"/>
      <c r="X19" s="261"/>
      <c r="Y19" s="261"/>
      <c r="Z19" s="261"/>
      <c r="AA19" s="261"/>
      <c r="AB19" s="261"/>
    </row>
    <row r="20" spans="1:28">
      <c r="A20" s="1060"/>
      <c r="B20" s="1061"/>
      <c r="C20" s="1062">
        <v>132</v>
      </c>
      <c r="D20" s="1064"/>
      <c r="E20" s="287" t="s">
        <v>243</v>
      </c>
      <c r="F20" s="288">
        <f>[5]Druhova!G15</f>
        <v>0</v>
      </c>
      <c r="G20" s="288">
        <f>[5]Druhova!B15</f>
        <v>0</v>
      </c>
      <c r="H20" s="288">
        <f>[5]Druhova!C15</f>
        <v>0</v>
      </c>
      <c r="I20" s="288">
        <f>[5]Druhova!D15</f>
        <v>0</v>
      </c>
      <c r="J20" s="288" t="str">
        <f t="shared" si="0"/>
        <v/>
      </c>
      <c r="K20" s="289" t="str">
        <f t="shared" si="1"/>
        <v/>
      </c>
      <c r="L20" s="260"/>
      <c r="M20" s="260"/>
      <c r="N20" s="260"/>
      <c r="O20" s="260"/>
      <c r="P20" s="260"/>
      <c r="S20" s="261"/>
      <c r="T20" s="261"/>
      <c r="U20" s="261"/>
      <c r="V20" s="261"/>
      <c r="W20" s="261"/>
      <c r="X20" s="261"/>
      <c r="Y20" s="261"/>
      <c r="Z20" s="261"/>
      <c r="AA20" s="261"/>
      <c r="AB20" s="261"/>
    </row>
    <row r="21" spans="1:28">
      <c r="A21" s="1060"/>
      <c r="B21" s="1061"/>
      <c r="C21" s="1062">
        <v>133</v>
      </c>
      <c r="D21" s="1064"/>
      <c r="E21" s="287" t="s">
        <v>244</v>
      </c>
      <c r="F21" s="288">
        <f>[5]Druhova!G16</f>
        <v>0</v>
      </c>
      <c r="G21" s="288">
        <f>[5]Druhova!B16</f>
        <v>0</v>
      </c>
      <c r="H21" s="288">
        <f>[5]Druhova!C16</f>
        <v>0</v>
      </c>
      <c r="I21" s="288">
        <f>[5]Druhova!D16</f>
        <v>0</v>
      </c>
      <c r="J21" s="288" t="str">
        <f t="shared" si="0"/>
        <v/>
      </c>
      <c r="K21" s="289" t="str">
        <f t="shared" si="1"/>
        <v/>
      </c>
      <c r="L21" s="260"/>
      <c r="M21" s="260"/>
      <c r="N21" s="260"/>
      <c r="O21" s="260"/>
      <c r="P21" s="260"/>
      <c r="S21" s="261"/>
      <c r="T21" s="261"/>
      <c r="U21" s="261"/>
      <c r="V21" s="261"/>
      <c r="W21" s="261"/>
      <c r="X21" s="261"/>
      <c r="Y21" s="261"/>
      <c r="Z21" s="261"/>
      <c r="AA21" s="261"/>
      <c r="AB21" s="261"/>
    </row>
    <row r="22" spans="1:28">
      <c r="A22" s="1060"/>
      <c r="B22" s="1061"/>
      <c r="C22" s="1062">
        <v>134</v>
      </c>
      <c r="D22" s="1064"/>
      <c r="E22" s="287" t="s">
        <v>245</v>
      </c>
      <c r="F22" s="288">
        <f>[5]Druhova!G17</f>
        <v>0</v>
      </c>
      <c r="G22" s="288">
        <f>[5]Druhova!B17</f>
        <v>0</v>
      </c>
      <c r="H22" s="288">
        <f>[5]Druhova!C17</f>
        <v>0</v>
      </c>
      <c r="I22" s="288">
        <f>[5]Druhova!D17</f>
        <v>0</v>
      </c>
      <c r="J22" s="288" t="str">
        <f t="shared" si="0"/>
        <v/>
      </c>
      <c r="K22" s="289" t="str">
        <f t="shared" si="1"/>
        <v/>
      </c>
      <c r="L22" s="260"/>
      <c r="M22" s="260"/>
      <c r="N22" s="260"/>
      <c r="O22" s="260"/>
      <c r="P22" s="260"/>
      <c r="S22" s="261"/>
      <c r="T22" s="261"/>
      <c r="U22" s="261"/>
      <c r="V22" s="261"/>
      <c r="W22" s="261"/>
      <c r="X22" s="261"/>
      <c r="Y22" s="261"/>
      <c r="Z22" s="261"/>
      <c r="AA22" s="261"/>
      <c r="AB22" s="261"/>
    </row>
    <row r="23" spans="1:28">
      <c r="A23" s="1060"/>
      <c r="B23" s="1061"/>
      <c r="C23" s="1062">
        <v>135</v>
      </c>
      <c r="D23" s="1064"/>
      <c r="E23" s="287" t="s">
        <v>246</v>
      </c>
      <c r="F23" s="288">
        <f>[5]Druhova!G18</f>
        <v>0</v>
      </c>
      <c r="G23" s="288">
        <f>[5]Druhova!B18</f>
        <v>0</v>
      </c>
      <c r="H23" s="288">
        <f>[5]Druhova!C18</f>
        <v>0</v>
      </c>
      <c r="I23" s="288">
        <f>[5]Druhova!D18</f>
        <v>0</v>
      </c>
      <c r="J23" s="288" t="str">
        <f t="shared" si="0"/>
        <v/>
      </c>
      <c r="K23" s="289" t="str">
        <f t="shared" si="1"/>
        <v/>
      </c>
      <c r="L23" s="260"/>
      <c r="M23" s="260"/>
      <c r="N23" s="260"/>
      <c r="O23" s="260"/>
      <c r="P23" s="260"/>
      <c r="S23" s="261"/>
      <c r="T23" s="261"/>
      <c r="U23" s="261"/>
      <c r="V23" s="261"/>
      <c r="W23" s="261"/>
      <c r="X23" s="261"/>
      <c r="Y23" s="261"/>
      <c r="Z23" s="261"/>
      <c r="AA23" s="261"/>
      <c r="AB23" s="261"/>
    </row>
    <row r="24" spans="1:28" ht="17.25" customHeight="1">
      <c r="A24" s="1060"/>
      <c r="B24" s="1061"/>
      <c r="C24" s="1062">
        <v>136</v>
      </c>
      <c r="D24" s="1064"/>
      <c r="E24" s="287" t="s">
        <v>247</v>
      </c>
      <c r="F24" s="288">
        <f>[5]Druhova!G19</f>
        <v>4100.6742299999996</v>
      </c>
      <c r="G24" s="288">
        <f>[5]Druhova!B19</f>
        <v>13000</v>
      </c>
      <c r="H24" s="288">
        <f>[5]Druhova!C19</f>
        <v>13000</v>
      </c>
      <c r="I24" s="288">
        <f>[5]Druhova!D19</f>
        <v>4679.2322299999996</v>
      </c>
      <c r="J24" s="288">
        <f t="shared" si="0"/>
        <v>35.994094076923069</v>
      </c>
      <c r="K24" s="289">
        <f t="shared" si="1"/>
        <v>114.10885058284673</v>
      </c>
      <c r="L24" s="260"/>
      <c r="M24" s="260"/>
      <c r="N24" s="260"/>
      <c r="O24" s="260"/>
      <c r="P24" s="260"/>
      <c r="S24" s="261"/>
      <c r="T24" s="261"/>
      <c r="U24" s="261"/>
      <c r="V24" s="261"/>
      <c r="W24" s="261"/>
      <c r="X24" s="261"/>
      <c r="Y24" s="261"/>
      <c r="Z24" s="261"/>
      <c r="AA24" s="261"/>
      <c r="AB24" s="261"/>
    </row>
    <row r="25" spans="1:28">
      <c r="A25" s="1060"/>
      <c r="B25" s="1061"/>
      <c r="C25" s="1062">
        <v>137</v>
      </c>
      <c r="D25" s="1064"/>
      <c r="E25" s="287" t="s">
        <v>248</v>
      </c>
      <c r="F25" s="288">
        <f>[5]Druhova!G20</f>
        <v>0</v>
      </c>
      <c r="G25" s="288">
        <f>[5]Druhova!B20</f>
        <v>0</v>
      </c>
      <c r="H25" s="288">
        <f>[5]Druhova!C20</f>
        <v>0</v>
      </c>
      <c r="I25" s="288">
        <f>[5]Druhova!D20</f>
        <v>0</v>
      </c>
      <c r="J25" s="288" t="str">
        <f>IF(H25=0,"",I25/H25*100)</f>
        <v/>
      </c>
      <c r="K25" s="289" t="str">
        <f>IF(F25=0,"",I25/F25*100)</f>
        <v/>
      </c>
      <c r="L25" s="260"/>
      <c r="M25" s="260"/>
      <c r="N25" s="260"/>
      <c r="O25" s="260"/>
      <c r="P25" s="260"/>
      <c r="S25" s="261"/>
      <c r="T25" s="261"/>
      <c r="U25" s="261"/>
      <c r="V25" s="261"/>
      <c r="W25" s="261"/>
      <c r="X25" s="261"/>
      <c r="Y25" s="261"/>
      <c r="Z25" s="261"/>
      <c r="AA25" s="261"/>
      <c r="AB25" s="261"/>
    </row>
    <row r="26" spans="1:28" s="286" customFormat="1" ht="19.5" customHeight="1">
      <c r="A26" s="1065"/>
      <c r="B26" s="1070">
        <v>13</v>
      </c>
      <c r="C26" s="1067"/>
      <c r="D26" s="1068"/>
      <c r="E26" s="290" t="s">
        <v>249</v>
      </c>
      <c r="F26" s="291">
        <f>[5]Druhova!G21</f>
        <v>4100.6742299999996</v>
      </c>
      <c r="G26" s="291">
        <f>[5]Druhova!B21</f>
        <v>13000</v>
      </c>
      <c r="H26" s="291">
        <f>[5]Druhova!C21</f>
        <v>13000</v>
      </c>
      <c r="I26" s="291">
        <f>[5]Druhova!D21</f>
        <v>4679.2322299999996</v>
      </c>
      <c r="J26" s="291">
        <f t="shared" si="0"/>
        <v>35.994094076923069</v>
      </c>
      <c r="K26" s="292">
        <f t="shared" si="1"/>
        <v>114.10885058284673</v>
      </c>
      <c r="L26" s="285"/>
      <c r="M26" s="285"/>
      <c r="N26" s="285"/>
      <c r="O26" s="285"/>
      <c r="P26" s="285"/>
      <c r="Q26" s="285"/>
      <c r="R26" s="285"/>
    </row>
    <row r="27" spans="1:28" ht="22.5">
      <c r="A27" s="1060"/>
      <c r="B27" s="1061"/>
      <c r="C27" s="1062" t="s">
        <v>757</v>
      </c>
      <c r="D27" s="1064" t="s">
        <v>751</v>
      </c>
      <c r="E27" s="287" t="s">
        <v>250</v>
      </c>
      <c r="F27" s="288">
        <f>[5]Druhova!G22</f>
        <v>0</v>
      </c>
      <c r="G27" s="288">
        <f>[5]Druhova!B22</f>
        <v>0</v>
      </c>
      <c r="H27" s="288">
        <f>[5]Druhova!C22</f>
        <v>0</v>
      </c>
      <c r="I27" s="288">
        <f>[5]Druhova!D22</f>
        <v>0</v>
      </c>
      <c r="J27" s="288" t="str">
        <f t="shared" si="0"/>
        <v/>
      </c>
      <c r="K27" s="289" t="str">
        <f t="shared" si="1"/>
        <v/>
      </c>
      <c r="L27" s="260"/>
      <c r="M27" s="260"/>
      <c r="N27" s="260"/>
      <c r="O27" s="260"/>
      <c r="P27" s="260"/>
      <c r="S27" s="261"/>
      <c r="T27" s="261"/>
      <c r="U27" s="261"/>
      <c r="V27" s="261"/>
      <c r="W27" s="261"/>
      <c r="X27" s="261"/>
      <c r="Y27" s="261"/>
      <c r="Z27" s="261"/>
      <c r="AA27" s="261"/>
      <c r="AB27" s="261"/>
    </row>
    <row r="28" spans="1:28">
      <c r="A28" s="1060"/>
      <c r="B28" s="1061"/>
      <c r="C28" s="1062"/>
      <c r="D28" s="1064">
        <v>1401</v>
      </c>
      <c r="E28" s="287" t="s">
        <v>251</v>
      </c>
      <c r="F28" s="288">
        <f>[5]Druhova!G23</f>
        <v>0</v>
      </c>
      <c r="G28" s="288">
        <f>[5]Druhova!B23</f>
        <v>0</v>
      </c>
      <c r="H28" s="288">
        <f>[5]Druhova!C23</f>
        <v>0</v>
      </c>
      <c r="I28" s="288">
        <f>[5]Druhova!D23</f>
        <v>0</v>
      </c>
      <c r="J28" s="288" t="str">
        <f t="shared" si="0"/>
        <v/>
      </c>
      <c r="K28" s="289" t="str">
        <f t="shared" si="1"/>
        <v/>
      </c>
      <c r="L28" s="260"/>
      <c r="M28" s="260"/>
      <c r="N28" s="260"/>
      <c r="O28" s="260"/>
      <c r="P28" s="260"/>
      <c r="S28" s="261"/>
      <c r="T28" s="261"/>
      <c r="U28" s="261"/>
      <c r="V28" s="261"/>
      <c r="W28" s="261"/>
      <c r="X28" s="261"/>
      <c r="Y28" s="261"/>
      <c r="Z28" s="261"/>
      <c r="AA28" s="261"/>
      <c r="AB28" s="261"/>
    </row>
    <row r="29" spans="1:28" s="286" customFormat="1">
      <c r="A29" s="1060"/>
      <c r="B29" s="1061"/>
      <c r="C29" s="1062"/>
      <c r="D29" s="1064">
        <v>1402</v>
      </c>
      <c r="E29" s="287" t="s">
        <v>252</v>
      </c>
      <c r="F29" s="288">
        <f>[5]Druhova!G24</f>
        <v>0</v>
      </c>
      <c r="G29" s="288">
        <f>[5]Druhova!B24</f>
        <v>0</v>
      </c>
      <c r="H29" s="288">
        <f>[5]Druhova!C24</f>
        <v>0</v>
      </c>
      <c r="I29" s="288">
        <f>[5]Druhova!D24</f>
        <v>0</v>
      </c>
      <c r="J29" s="288" t="str">
        <f t="shared" si="0"/>
        <v/>
      </c>
      <c r="K29" s="289" t="str">
        <f t="shared" si="1"/>
        <v/>
      </c>
      <c r="L29" s="285"/>
      <c r="M29" s="285"/>
      <c r="N29" s="285"/>
      <c r="O29" s="285"/>
      <c r="P29" s="285"/>
      <c r="Q29" s="285"/>
      <c r="R29" s="285"/>
    </row>
    <row r="30" spans="1:28" ht="17.45" customHeight="1">
      <c r="A30" s="1065"/>
      <c r="B30" s="1070" t="s">
        <v>758</v>
      </c>
      <c r="C30" s="1067"/>
      <c r="D30" s="1068"/>
      <c r="E30" s="290" t="s">
        <v>250</v>
      </c>
      <c r="F30" s="291">
        <f>[5]Druhova!G25</f>
        <v>0</v>
      </c>
      <c r="G30" s="291">
        <f>[5]Druhova!B25</f>
        <v>0</v>
      </c>
      <c r="H30" s="291">
        <f>[5]Druhova!C25</f>
        <v>0</v>
      </c>
      <c r="I30" s="291">
        <f>[5]Druhova!D25</f>
        <v>0</v>
      </c>
      <c r="J30" s="291" t="str">
        <f t="shared" si="0"/>
        <v/>
      </c>
      <c r="K30" s="292" t="str">
        <f t="shared" si="1"/>
        <v/>
      </c>
      <c r="L30" s="260"/>
      <c r="M30" s="260"/>
      <c r="N30" s="260"/>
      <c r="O30" s="260"/>
      <c r="P30" s="260"/>
      <c r="S30" s="261"/>
      <c r="T30" s="261"/>
      <c r="U30" s="261"/>
      <c r="V30" s="261"/>
      <c r="W30" s="261"/>
      <c r="X30" s="261"/>
      <c r="Y30" s="261"/>
      <c r="Z30" s="261"/>
      <c r="AA30" s="261"/>
      <c r="AB30" s="261"/>
    </row>
    <row r="31" spans="1:28">
      <c r="A31" s="1060"/>
      <c r="B31" s="1061"/>
      <c r="C31" s="1062">
        <v>151</v>
      </c>
      <c r="D31" s="1064"/>
      <c r="E31" s="287" t="s">
        <v>253</v>
      </c>
      <c r="F31" s="288">
        <f>[5]Druhova!G26</f>
        <v>0</v>
      </c>
      <c r="G31" s="288">
        <f>[5]Druhova!B26</f>
        <v>0</v>
      </c>
      <c r="H31" s="288">
        <f>[5]Druhova!C26</f>
        <v>0</v>
      </c>
      <c r="I31" s="288">
        <f>[5]Druhova!D26</f>
        <v>0</v>
      </c>
      <c r="J31" s="288" t="str">
        <f t="shared" si="0"/>
        <v/>
      </c>
      <c r="K31" s="289" t="str">
        <f t="shared" si="1"/>
        <v/>
      </c>
      <c r="L31" s="260"/>
      <c r="M31" s="260"/>
      <c r="N31" s="260"/>
      <c r="O31" s="260"/>
      <c r="P31" s="260"/>
      <c r="S31" s="261"/>
      <c r="T31" s="261"/>
      <c r="U31" s="261"/>
      <c r="V31" s="261"/>
      <c r="W31" s="261"/>
      <c r="X31" s="261"/>
      <c r="Y31" s="261"/>
      <c r="Z31" s="261"/>
      <c r="AA31" s="261"/>
      <c r="AB31" s="261"/>
    </row>
    <row r="32" spans="1:28">
      <c r="A32" s="1060"/>
      <c r="B32" s="1061"/>
      <c r="C32" s="1062" t="s">
        <v>759</v>
      </c>
      <c r="D32" s="1064" t="s">
        <v>751</v>
      </c>
      <c r="E32" s="287" t="s">
        <v>254</v>
      </c>
      <c r="F32" s="288">
        <f>[5]Druhova!G27</f>
        <v>0</v>
      </c>
      <c r="G32" s="288">
        <f>[5]Druhova!B27</f>
        <v>0</v>
      </c>
      <c r="H32" s="288">
        <f>[5]Druhova!C27</f>
        <v>0</v>
      </c>
      <c r="I32" s="288">
        <f>[5]Druhova!D27</f>
        <v>0</v>
      </c>
      <c r="J32" s="288" t="str">
        <f t="shared" si="0"/>
        <v/>
      </c>
      <c r="K32" s="289" t="str">
        <f t="shared" si="1"/>
        <v/>
      </c>
      <c r="L32" s="260"/>
      <c r="M32" s="260"/>
      <c r="N32" s="260"/>
      <c r="O32" s="260"/>
      <c r="P32" s="260"/>
      <c r="S32" s="261"/>
      <c r="T32" s="261"/>
      <c r="U32" s="261"/>
      <c r="V32" s="261"/>
      <c r="W32" s="261"/>
      <c r="X32" s="261"/>
      <c r="Y32" s="261"/>
      <c r="Z32" s="261"/>
      <c r="AA32" s="261"/>
      <c r="AB32" s="261"/>
    </row>
    <row r="33" spans="1:28" s="286" customFormat="1" ht="33.75">
      <c r="A33" s="1060"/>
      <c r="B33" s="1061"/>
      <c r="C33" s="1062"/>
      <c r="D33" s="1071" t="s">
        <v>760</v>
      </c>
      <c r="E33" s="287" t="s">
        <v>255</v>
      </c>
      <c r="F33" s="288">
        <f>[5]Druhova!G28</f>
        <v>0</v>
      </c>
      <c r="G33" s="288">
        <f>[5]Druhova!B28</f>
        <v>0</v>
      </c>
      <c r="H33" s="288">
        <f>[5]Druhova!C28</f>
        <v>0</v>
      </c>
      <c r="I33" s="288">
        <f>[5]Druhova!D28</f>
        <v>0</v>
      </c>
      <c r="J33" s="288" t="str">
        <f t="shared" si="0"/>
        <v/>
      </c>
      <c r="K33" s="289" t="str">
        <f t="shared" si="1"/>
        <v/>
      </c>
      <c r="L33" s="285"/>
      <c r="M33" s="285"/>
      <c r="N33" s="285"/>
      <c r="O33" s="285"/>
      <c r="P33" s="285"/>
      <c r="Q33" s="285"/>
      <c r="R33" s="285"/>
    </row>
    <row r="34" spans="1:28" ht="17.45" customHeight="1">
      <c r="A34" s="1065"/>
      <c r="B34" s="1070" t="s">
        <v>761</v>
      </c>
      <c r="C34" s="1067"/>
      <c r="D34" s="1068"/>
      <c r="E34" s="290" t="s">
        <v>256</v>
      </c>
      <c r="F34" s="291">
        <f>[5]Druhova!G29</f>
        <v>0</v>
      </c>
      <c r="G34" s="291">
        <f>[5]Druhova!B29</f>
        <v>0</v>
      </c>
      <c r="H34" s="291">
        <f>[5]Druhova!C29</f>
        <v>0</v>
      </c>
      <c r="I34" s="291">
        <f>[5]Druhova!D29</f>
        <v>0</v>
      </c>
      <c r="J34" s="291" t="str">
        <f t="shared" si="0"/>
        <v/>
      </c>
      <c r="K34" s="292" t="str">
        <f t="shared" si="1"/>
        <v/>
      </c>
      <c r="L34" s="260"/>
      <c r="M34" s="260"/>
      <c r="N34" s="260"/>
      <c r="O34" s="260"/>
      <c r="P34" s="260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</row>
    <row r="35" spans="1:28" ht="29.25" customHeight="1">
      <c r="A35" s="1060"/>
      <c r="B35" s="1061"/>
      <c r="C35" s="1062" t="s">
        <v>762</v>
      </c>
      <c r="D35" s="1064"/>
      <c r="E35" s="287" t="s">
        <v>257</v>
      </c>
      <c r="F35" s="288">
        <f>[5]Druhova!G30</f>
        <v>5834563.0512499996</v>
      </c>
      <c r="G35" s="288">
        <f>[5]Druhova!B30</f>
        <v>6207082.8339999998</v>
      </c>
      <c r="H35" s="288">
        <f>[5]Druhova!C30</f>
        <v>6207082.8339999998</v>
      </c>
      <c r="I35" s="288">
        <f>[5]Druhova!D30</f>
        <v>6186744.9409999996</v>
      </c>
      <c r="J35" s="288">
        <f t="shared" si="0"/>
        <v>99.672343779776924</v>
      </c>
      <c r="K35" s="289">
        <f t="shared" si="1"/>
        <v>106.03613135476439</v>
      </c>
      <c r="L35" s="260"/>
      <c r="M35" s="260"/>
      <c r="N35" s="260"/>
      <c r="O35" s="260"/>
      <c r="P35" s="260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</row>
    <row r="36" spans="1:28" ht="29.25" customHeight="1">
      <c r="A36" s="1060" t="s">
        <v>763</v>
      </c>
      <c r="B36" s="1061" t="s">
        <v>764</v>
      </c>
      <c r="C36" s="1072" t="s">
        <v>765</v>
      </c>
      <c r="D36" s="1073" t="s">
        <v>764</v>
      </c>
      <c r="E36" s="287" t="s">
        <v>258</v>
      </c>
      <c r="F36" s="288">
        <f>[5]Druhova_CAST7!M8</f>
        <v>5301906.4461300001</v>
      </c>
      <c r="G36" s="288">
        <f>[5]Druhova_CAST7!D8</f>
        <v>5512609.7769999998</v>
      </c>
      <c r="H36" s="288">
        <f>[5]Druhova_CAST7!E8</f>
        <v>5512609.7769999998</v>
      </c>
      <c r="I36" s="288">
        <f>[5]Druhova_CAST7!F8</f>
        <v>5617229.3716000002</v>
      </c>
      <c r="J36" s="288">
        <f t="shared" si="0"/>
        <v>101.89782333290667</v>
      </c>
      <c r="K36" s="289">
        <f t="shared" si="1"/>
        <v>105.94734985752461</v>
      </c>
      <c r="L36" s="260"/>
      <c r="M36" s="260"/>
      <c r="N36" s="260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</row>
    <row r="37" spans="1:28">
      <c r="A37" s="1060"/>
      <c r="B37" s="1061"/>
      <c r="C37" s="1062">
        <v>163</v>
      </c>
      <c r="D37" s="1064"/>
      <c r="E37" s="287" t="s">
        <v>259</v>
      </c>
      <c r="F37" s="288">
        <f>[5]Druhova!G32</f>
        <v>0</v>
      </c>
      <c r="G37" s="288">
        <f>[5]Druhova!B32</f>
        <v>0</v>
      </c>
      <c r="H37" s="288">
        <f>[5]Druhova!C32</f>
        <v>0</v>
      </c>
      <c r="I37" s="288">
        <f>[5]Druhova!D32</f>
        <v>0</v>
      </c>
      <c r="J37" s="288" t="str">
        <f t="shared" si="0"/>
        <v/>
      </c>
      <c r="K37" s="289" t="str">
        <f t="shared" si="1"/>
        <v/>
      </c>
      <c r="L37" s="260"/>
      <c r="M37" s="260"/>
      <c r="N37" s="260"/>
      <c r="O37" s="260"/>
      <c r="P37" s="260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</row>
    <row r="38" spans="1:28">
      <c r="A38" s="1060"/>
      <c r="B38" s="1061"/>
      <c r="C38" s="1062">
        <v>164</v>
      </c>
      <c r="D38" s="1064"/>
      <c r="E38" s="287" t="s">
        <v>260</v>
      </c>
      <c r="F38" s="288">
        <f>[5]Druhova!G33</f>
        <v>0</v>
      </c>
      <c r="G38" s="288">
        <f>[5]Druhova!B33</f>
        <v>0</v>
      </c>
      <c r="H38" s="288">
        <f>[5]Druhova!C33</f>
        <v>0</v>
      </c>
      <c r="I38" s="288">
        <f>[5]Druhova!D33</f>
        <v>0</v>
      </c>
      <c r="J38" s="288" t="str">
        <f t="shared" si="0"/>
        <v/>
      </c>
      <c r="K38" s="289" t="str">
        <f t="shared" si="1"/>
        <v/>
      </c>
      <c r="L38" s="260"/>
      <c r="M38" s="260"/>
      <c r="N38" s="260"/>
      <c r="O38" s="260"/>
      <c r="P38" s="260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</row>
    <row r="39" spans="1:28" s="286" customFormat="1">
      <c r="A39" s="1060"/>
      <c r="B39" s="1061"/>
      <c r="C39" s="1062">
        <v>169</v>
      </c>
      <c r="D39" s="1064"/>
      <c r="E39" s="287" t="s">
        <v>261</v>
      </c>
      <c r="F39" s="288">
        <f>[5]Druhova!G34</f>
        <v>0</v>
      </c>
      <c r="G39" s="288">
        <f>[5]Druhova!B34</f>
        <v>0</v>
      </c>
      <c r="H39" s="288">
        <f>[5]Druhova!C34</f>
        <v>0</v>
      </c>
      <c r="I39" s="288">
        <f>[5]Druhova!D34</f>
        <v>0</v>
      </c>
      <c r="J39" s="288" t="str">
        <f t="shared" si="0"/>
        <v/>
      </c>
      <c r="K39" s="289" t="str">
        <f t="shared" si="1"/>
        <v/>
      </c>
      <c r="L39" s="285"/>
      <c r="M39" s="285"/>
      <c r="N39" s="285"/>
      <c r="O39" s="285"/>
      <c r="P39" s="285"/>
      <c r="Q39" s="285"/>
      <c r="R39" s="285"/>
    </row>
    <row r="40" spans="1:28" ht="17.25" customHeight="1">
      <c r="A40" s="1065"/>
      <c r="B40" s="1070">
        <v>16</v>
      </c>
      <c r="C40" s="1067"/>
      <c r="D40" s="1068"/>
      <c r="E40" s="290" t="s">
        <v>262</v>
      </c>
      <c r="F40" s="291">
        <f>[5]Druhova!G35</f>
        <v>5834563.0512499996</v>
      </c>
      <c r="G40" s="291">
        <f>[5]Druhova!B35</f>
        <v>6207082.8339999998</v>
      </c>
      <c r="H40" s="291">
        <f>[5]Druhova!C35</f>
        <v>6207082.8339999998</v>
      </c>
      <c r="I40" s="291">
        <f>[5]Druhova!D35</f>
        <v>6186744.9409999996</v>
      </c>
      <c r="J40" s="291">
        <f t="shared" si="0"/>
        <v>99.672343779776924</v>
      </c>
      <c r="K40" s="292">
        <f t="shared" si="1"/>
        <v>106.03613135476439</v>
      </c>
      <c r="L40" s="260"/>
      <c r="M40" s="260"/>
      <c r="N40" s="260"/>
      <c r="O40" s="260"/>
      <c r="P40" s="260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</row>
    <row r="41" spans="1:28" s="286" customFormat="1" ht="33.75">
      <c r="A41" s="1060"/>
      <c r="B41" s="1061"/>
      <c r="C41" s="1062" t="s">
        <v>766</v>
      </c>
      <c r="D41" s="1071" t="s">
        <v>767</v>
      </c>
      <c r="E41" s="287" t="s">
        <v>263</v>
      </c>
      <c r="F41" s="294">
        <f>[5]Druhova!G36</f>
        <v>0</v>
      </c>
      <c r="G41" s="294">
        <f>[5]Druhova!B36</f>
        <v>0</v>
      </c>
      <c r="H41" s="294">
        <f>[5]Druhova!C36</f>
        <v>0</v>
      </c>
      <c r="I41" s="294">
        <f>[5]Druhova!D36</f>
        <v>0</v>
      </c>
      <c r="J41" s="288" t="str">
        <f t="shared" si="0"/>
        <v/>
      </c>
      <c r="K41" s="289" t="str">
        <f t="shared" si="1"/>
        <v/>
      </c>
      <c r="L41" s="285"/>
      <c r="M41" s="285"/>
      <c r="N41" s="285"/>
      <c r="O41" s="285"/>
      <c r="P41" s="285"/>
      <c r="Q41" s="285"/>
      <c r="R41" s="285"/>
    </row>
    <row r="42" spans="1:28" s="286" customFormat="1" ht="34.5" thickBot="1">
      <c r="A42" s="1065"/>
      <c r="B42" s="1070">
        <v>17</v>
      </c>
      <c r="C42" s="1067"/>
      <c r="D42" s="1074" t="s">
        <v>767</v>
      </c>
      <c r="E42" s="290" t="s">
        <v>263</v>
      </c>
      <c r="F42" s="295">
        <f>[5]Druhova!G37</f>
        <v>0</v>
      </c>
      <c r="G42" s="296">
        <f>[5]Druhova!B37</f>
        <v>0</v>
      </c>
      <c r="H42" s="296">
        <f>[5]Druhova!C37</f>
        <v>0</v>
      </c>
      <c r="I42" s="296">
        <f>[5]Druhova!D37</f>
        <v>0</v>
      </c>
      <c r="J42" s="296" t="str">
        <f t="shared" si="0"/>
        <v/>
      </c>
      <c r="K42" s="297" t="str">
        <f t="shared" si="1"/>
        <v/>
      </c>
      <c r="L42" s="285"/>
      <c r="M42" s="285"/>
      <c r="N42" s="285"/>
      <c r="O42" s="285"/>
      <c r="P42" s="285"/>
      <c r="Q42" s="285"/>
      <c r="R42" s="285"/>
    </row>
    <row r="43" spans="1:28" s="286" customFormat="1" ht="34.5" customHeight="1" thickBot="1">
      <c r="A43" s="1075">
        <v>1</v>
      </c>
      <c r="B43" s="1076"/>
      <c r="C43" s="1077"/>
      <c r="D43" s="1078"/>
      <c r="E43" s="298" t="s">
        <v>264</v>
      </c>
      <c r="F43" s="299">
        <f>[5]Druhova!G38</f>
        <v>5838663.7254799996</v>
      </c>
      <c r="G43" s="300">
        <f>[5]Druhova!B38</f>
        <v>6220082.8339999998</v>
      </c>
      <c r="H43" s="300">
        <f>[5]Druhova!C38</f>
        <v>6220082.8339999998</v>
      </c>
      <c r="I43" s="300">
        <f>[5]Druhova!D38</f>
        <v>6191424.1732299998</v>
      </c>
      <c r="J43" s="301">
        <f t="shared" si="0"/>
        <v>99.539255962744633</v>
      </c>
      <c r="K43" s="302">
        <f t="shared" si="1"/>
        <v>106.04180107531367</v>
      </c>
      <c r="L43" s="285"/>
      <c r="M43" s="285"/>
      <c r="N43" s="285"/>
      <c r="O43" s="285"/>
      <c r="P43" s="285"/>
      <c r="Q43" s="285"/>
      <c r="R43" s="285"/>
    </row>
    <row r="44" spans="1:28" ht="30" customHeight="1" thickBot="1">
      <c r="A44" s="1075"/>
      <c r="B44" s="1079" t="s">
        <v>768</v>
      </c>
      <c r="C44" s="1077"/>
      <c r="D44" s="1080"/>
      <c r="E44" s="303" t="s">
        <v>265</v>
      </c>
      <c r="F44" s="304">
        <f>[5]Druhova!G39</f>
        <v>4100.6742299999996</v>
      </c>
      <c r="G44" s="301">
        <f>[5]Druhova!B39</f>
        <v>13000</v>
      </c>
      <c r="H44" s="301">
        <f>[5]Druhova!C39</f>
        <v>13000</v>
      </c>
      <c r="I44" s="301">
        <f>[5]Druhova!D39</f>
        <v>4679.2322300010001</v>
      </c>
      <c r="J44" s="300">
        <f t="shared" si="0"/>
        <v>35.994094076930772</v>
      </c>
      <c r="K44" s="305">
        <f t="shared" si="1"/>
        <v>114.1088505828711</v>
      </c>
      <c r="L44" s="260"/>
      <c r="M44" s="260"/>
      <c r="N44" s="260"/>
      <c r="O44" s="260"/>
      <c r="P44" s="260"/>
      <c r="S44" s="261"/>
      <c r="T44" s="261"/>
      <c r="U44" s="261"/>
      <c r="V44" s="261"/>
      <c r="W44" s="261"/>
      <c r="X44" s="261"/>
      <c r="Y44" s="261"/>
      <c r="Z44" s="261"/>
      <c r="AA44" s="261"/>
      <c r="AB44" s="261"/>
    </row>
    <row r="45" spans="1:28" ht="18" customHeight="1">
      <c r="A45" s="1060"/>
      <c r="B45" s="1061"/>
      <c r="C45" s="1081">
        <v>211</v>
      </c>
      <c r="D45" s="1061"/>
      <c r="E45" s="306" t="s">
        <v>266</v>
      </c>
      <c r="F45" s="288">
        <f>[5]Druhova!G40</f>
        <v>82806.811549999999</v>
      </c>
      <c r="G45" s="288">
        <f>[5]Druhova!B40</f>
        <v>66960.171000000002</v>
      </c>
      <c r="H45" s="288">
        <f>[5]Druhova!C40</f>
        <v>117801.38377</v>
      </c>
      <c r="I45" s="288">
        <f>[5]Druhova!D40</f>
        <v>84091.271770000007</v>
      </c>
      <c r="J45" s="288">
        <f t="shared" si="0"/>
        <v>71.383942258422934</v>
      </c>
      <c r="K45" s="289">
        <f t="shared" si="1"/>
        <v>101.55115285319786</v>
      </c>
      <c r="L45" s="260"/>
      <c r="M45" s="260"/>
      <c r="N45" s="260"/>
      <c r="O45" s="260"/>
      <c r="P45" s="260"/>
      <c r="S45" s="261"/>
      <c r="T45" s="261"/>
      <c r="U45" s="261"/>
      <c r="V45" s="261"/>
      <c r="W45" s="261"/>
      <c r="X45" s="261"/>
      <c r="Y45" s="261"/>
      <c r="Z45" s="261"/>
      <c r="AA45" s="261"/>
      <c r="AB45" s="261"/>
    </row>
    <row r="46" spans="1:28" ht="16.7" customHeight="1">
      <c r="A46" s="1060"/>
      <c r="B46" s="1061"/>
      <c r="C46" s="1081">
        <v>212</v>
      </c>
      <c r="D46" s="1061"/>
      <c r="E46" s="306" t="s">
        <v>267</v>
      </c>
      <c r="F46" s="288">
        <f>[5]Druhova!G41</f>
        <v>53019.646500000003</v>
      </c>
      <c r="G46" s="288">
        <f>[5]Druhova!B41</f>
        <v>23000</v>
      </c>
      <c r="H46" s="288">
        <f>[5]Druhova!C41</f>
        <v>62722</v>
      </c>
      <c r="I46" s="288">
        <f>[5]Druhova!D41</f>
        <v>103834.52499999999</v>
      </c>
      <c r="J46" s="288">
        <f t="shared" si="0"/>
        <v>165.54721628774593</v>
      </c>
      <c r="K46" s="289">
        <f t="shared" si="1"/>
        <v>195.84160184847704</v>
      </c>
      <c r="L46" s="260"/>
      <c r="M46" s="260"/>
      <c r="N46" s="260"/>
      <c r="O46" s="260"/>
      <c r="P46" s="260"/>
      <c r="S46" s="261"/>
      <c r="T46" s="261"/>
      <c r="U46" s="261"/>
      <c r="V46" s="261"/>
      <c r="W46" s="261"/>
      <c r="X46" s="261"/>
      <c r="Y46" s="261"/>
      <c r="Z46" s="261"/>
      <c r="AA46" s="261"/>
      <c r="AB46" s="261"/>
    </row>
    <row r="47" spans="1:28" ht="16.7" customHeight="1">
      <c r="A47" s="1060"/>
      <c r="B47" s="1061"/>
      <c r="C47" s="1081"/>
      <c r="D47" s="1061">
        <v>2122</v>
      </c>
      <c r="E47" s="306" t="s">
        <v>268</v>
      </c>
      <c r="F47" s="288">
        <f>[5]Druhova!G42</f>
        <v>0</v>
      </c>
      <c r="G47" s="288">
        <f>[5]Druhova!B42</f>
        <v>0</v>
      </c>
      <c r="H47" s="288">
        <f>[5]Druhova!C42</f>
        <v>0</v>
      </c>
      <c r="I47" s="288">
        <f>[5]Druhova!D42</f>
        <v>0</v>
      </c>
      <c r="J47" s="288" t="str">
        <f t="shared" si="0"/>
        <v/>
      </c>
      <c r="K47" s="289" t="str">
        <f t="shared" si="1"/>
        <v/>
      </c>
      <c r="L47" s="260"/>
      <c r="M47" s="260"/>
      <c r="N47" s="260"/>
      <c r="O47" s="260"/>
      <c r="P47" s="260"/>
      <c r="S47" s="261"/>
      <c r="T47" s="261"/>
      <c r="U47" s="261"/>
      <c r="V47" s="261"/>
      <c r="W47" s="261"/>
      <c r="X47" s="261"/>
      <c r="Y47" s="261"/>
      <c r="Z47" s="261"/>
      <c r="AA47" s="261"/>
      <c r="AB47" s="261"/>
    </row>
    <row r="48" spans="1:28" ht="16.7" customHeight="1">
      <c r="A48" s="1060"/>
      <c r="B48" s="1061"/>
      <c r="C48" s="1081"/>
      <c r="D48" s="1061">
        <v>2123</v>
      </c>
      <c r="E48" s="306" t="s">
        <v>269</v>
      </c>
      <c r="F48" s="288">
        <f>[5]Druhova!G43</f>
        <v>53019.646500000003</v>
      </c>
      <c r="G48" s="288">
        <f>[5]Druhova!B43</f>
        <v>23000</v>
      </c>
      <c r="H48" s="288">
        <f>[5]Druhova!C43</f>
        <v>62722</v>
      </c>
      <c r="I48" s="288">
        <f>[5]Druhova!D43</f>
        <v>103834.52499999999</v>
      </c>
      <c r="J48" s="288">
        <f t="shared" si="0"/>
        <v>165.54721628774593</v>
      </c>
      <c r="K48" s="289">
        <f t="shared" si="1"/>
        <v>195.84160184847704</v>
      </c>
      <c r="L48" s="260"/>
      <c r="M48" s="260"/>
      <c r="N48" s="260"/>
      <c r="O48" s="260"/>
      <c r="P48" s="260"/>
      <c r="S48" s="261"/>
      <c r="T48" s="261"/>
      <c r="U48" s="261"/>
      <c r="V48" s="261"/>
      <c r="W48" s="261"/>
      <c r="X48" s="261"/>
      <c r="Y48" s="261"/>
      <c r="Z48" s="261"/>
      <c r="AA48" s="261"/>
      <c r="AB48" s="261"/>
    </row>
    <row r="49" spans="1:28" ht="16.7" customHeight="1">
      <c r="A49" s="1060"/>
      <c r="B49" s="1061"/>
      <c r="C49" s="1081">
        <v>213</v>
      </c>
      <c r="D49" s="1061"/>
      <c r="E49" s="306" t="s">
        <v>270</v>
      </c>
      <c r="F49" s="288">
        <f>[5]Druhova!G44</f>
        <v>28242.711019999999</v>
      </c>
      <c r="G49" s="288">
        <f>[5]Druhova!B44</f>
        <v>26762.028999999999</v>
      </c>
      <c r="H49" s="288">
        <f>[5]Druhova!C44</f>
        <v>33321.484129999997</v>
      </c>
      <c r="I49" s="288">
        <f>[5]Druhova!D44</f>
        <v>24395.000240000001</v>
      </c>
      <c r="J49" s="288">
        <f t="shared" si="0"/>
        <v>73.211025489818127</v>
      </c>
      <c r="K49" s="289">
        <f t="shared" si="1"/>
        <v>86.376269695656163</v>
      </c>
      <c r="L49" s="260"/>
      <c r="M49" s="260"/>
      <c r="N49" s="260"/>
      <c r="O49" s="260"/>
      <c r="P49" s="260"/>
      <c r="S49" s="261"/>
      <c r="T49" s="261"/>
      <c r="U49" s="261"/>
      <c r="V49" s="261"/>
      <c r="W49" s="261"/>
      <c r="X49" s="261"/>
      <c r="Y49" s="261"/>
      <c r="Z49" s="261"/>
      <c r="AA49" s="261"/>
      <c r="AB49" s="261"/>
    </row>
    <row r="50" spans="1:28" ht="16.7" customHeight="1">
      <c r="A50" s="1060"/>
      <c r="B50" s="1061"/>
      <c r="C50" s="1081">
        <v>214</v>
      </c>
      <c r="D50" s="1061"/>
      <c r="E50" s="306" t="s">
        <v>271</v>
      </c>
      <c r="F50" s="288">
        <f>[5]Druhova!G45</f>
        <v>37.385689999999997</v>
      </c>
      <c r="G50" s="288">
        <f>[5]Druhova!B45</f>
        <v>132</v>
      </c>
      <c r="H50" s="288">
        <f>[5]Druhova!C45</f>
        <v>129.14274</v>
      </c>
      <c r="I50" s="288">
        <f>[5]Druhova!D45</f>
        <v>15.846579999999999</v>
      </c>
      <c r="J50" s="288">
        <f t="shared" si="0"/>
        <v>12.270592988812224</v>
      </c>
      <c r="K50" s="289">
        <f t="shared" si="1"/>
        <v>42.386752792311711</v>
      </c>
      <c r="L50" s="260"/>
      <c r="M50" s="260"/>
      <c r="N50" s="260"/>
      <c r="O50" s="260"/>
      <c r="P50" s="260"/>
      <c r="S50" s="261"/>
      <c r="T50" s="261"/>
      <c r="U50" s="261"/>
      <c r="V50" s="261"/>
      <c r="W50" s="261"/>
      <c r="X50" s="261"/>
      <c r="Y50" s="261"/>
      <c r="Z50" s="261"/>
      <c r="AA50" s="261"/>
      <c r="AB50" s="261"/>
    </row>
    <row r="51" spans="1:28" s="286" customFormat="1" ht="12" customHeight="1">
      <c r="A51" s="1060"/>
      <c r="B51" s="1061"/>
      <c r="C51" s="1081">
        <v>215</v>
      </c>
      <c r="D51" s="1061"/>
      <c r="E51" s="306" t="s">
        <v>272</v>
      </c>
      <c r="F51" s="288">
        <f>[5]Druhova!G46</f>
        <v>0</v>
      </c>
      <c r="G51" s="288">
        <f>[5]Druhova!B46</f>
        <v>0</v>
      </c>
      <c r="H51" s="288">
        <f>[5]Druhova!C46</f>
        <v>0</v>
      </c>
      <c r="I51" s="288">
        <f>[5]Druhova!D46</f>
        <v>0</v>
      </c>
      <c r="J51" s="288" t="str">
        <f t="shared" si="0"/>
        <v/>
      </c>
      <c r="K51" s="289" t="str">
        <f t="shared" si="1"/>
        <v/>
      </c>
      <c r="L51" s="285"/>
      <c r="M51" s="285"/>
      <c r="N51" s="285"/>
      <c r="O51" s="285"/>
      <c r="P51" s="285"/>
      <c r="Q51" s="285"/>
      <c r="R51" s="285"/>
    </row>
    <row r="52" spans="1:28" ht="23.65" customHeight="1">
      <c r="A52" s="1065"/>
      <c r="B52" s="1070">
        <v>21</v>
      </c>
      <c r="C52" s="1082"/>
      <c r="D52" s="1070"/>
      <c r="E52" s="307" t="s">
        <v>273</v>
      </c>
      <c r="F52" s="291">
        <f>[5]Druhova!G47</f>
        <v>164106.55476</v>
      </c>
      <c r="G52" s="291">
        <f>[5]Druhova!B47</f>
        <v>116854.2</v>
      </c>
      <c r="H52" s="291">
        <f>[5]Druhova!C47</f>
        <v>213974.01063999999</v>
      </c>
      <c r="I52" s="291">
        <f>[5]Druhova!D47</f>
        <v>212336.64358999999</v>
      </c>
      <c r="J52" s="291">
        <f t="shared" si="0"/>
        <v>99.234782277949265</v>
      </c>
      <c r="K52" s="292">
        <f t="shared" si="1"/>
        <v>129.38949568500465</v>
      </c>
      <c r="L52" s="260"/>
      <c r="M52" s="260"/>
      <c r="N52" s="260"/>
      <c r="O52" s="260"/>
      <c r="P52" s="260"/>
      <c r="S52" s="261"/>
      <c r="T52" s="261"/>
      <c r="U52" s="261"/>
      <c r="V52" s="261"/>
      <c r="W52" s="261"/>
      <c r="X52" s="261"/>
      <c r="Y52" s="261"/>
      <c r="Z52" s="261"/>
      <c r="AA52" s="261"/>
      <c r="AB52" s="261"/>
    </row>
    <row r="53" spans="1:28">
      <c r="A53" s="1060"/>
      <c r="B53" s="1061"/>
      <c r="C53" s="1081">
        <v>221</v>
      </c>
      <c r="D53" s="1061"/>
      <c r="E53" s="306" t="s">
        <v>274</v>
      </c>
      <c r="F53" s="288">
        <f>[5]Druhova!G48</f>
        <v>25000.161270000001</v>
      </c>
      <c r="G53" s="288">
        <f>[5]Druhova!B48</f>
        <v>433</v>
      </c>
      <c r="H53" s="288">
        <f>[5]Druhova!C48</f>
        <v>19800.360939999999</v>
      </c>
      <c r="I53" s="288">
        <f>[5]Druhova!D48</f>
        <v>36892.50099</v>
      </c>
      <c r="J53" s="288">
        <f t="shared" si="0"/>
        <v>186.32236605076758</v>
      </c>
      <c r="K53" s="289">
        <f t="shared" si="1"/>
        <v>147.5690520215592</v>
      </c>
      <c r="L53" s="260"/>
      <c r="M53" s="260"/>
      <c r="N53" s="260"/>
      <c r="O53" s="260"/>
      <c r="P53" s="260"/>
      <c r="S53" s="261"/>
      <c r="T53" s="261"/>
      <c r="U53" s="261"/>
      <c r="V53" s="261"/>
      <c r="W53" s="261"/>
      <c r="X53" s="261"/>
      <c r="Y53" s="261"/>
      <c r="Z53" s="261"/>
      <c r="AA53" s="261"/>
      <c r="AB53" s="261"/>
    </row>
    <row r="54" spans="1:28" s="286" customFormat="1" ht="22.5" customHeight="1">
      <c r="A54" s="1060"/>
      <c r="B54" s="1061"/>
      <c r="C54" s="1081">
        <v>222</v>
      </c>
      <c r="D54" s="1061"/>
      <c r="E54" s="306" t="s">
        <v>275</v>
      </c>
      <c r="F54" s="288">
        <f>[5]Druhova!G49</f>
        <v>21119.634429999998</v>
      </c>
      <c r="G54" s="288">
        <f>[5]Druhova!B49</f>
        <v>14400</v>
      </c>
      <c r="H54" s="288">
        <f>[5]Druhova!C49</f>
        <v>33579.059000000001</v>
      </c>
      <c r="I54" s="288">
        <f>[5]Druhova!D49</f>
        <v>28671.280480000001</v>
      </c>
      <c r="J54" s="288">
        <f t="shared" si="0"/>
        <v>85.384407228326438</v>
      </c>
      <c r="K54" s="289">
        <f t="shared" si="1"/>
        <v>135.75651877417465</v>
      </c>
      <c r="L54" s="285"/>
      <c r="M54" s="285"/>
      <c r="N54" s="285"/>
      <c r="O54" s="285"/>
      <c r="P54" s="285"/>
      <c r="Q54" s="285"/>
      <c r="R54" s="285"/>
    </row>
    <row r="55" spans="1:28" ht="17.45" customHeight="1">
      <c r="A55" s="1065">
        <v>5</v>
      </c>
      <c r="B55" s="1070">
        <v>22</v>
      </c>
      <c r="C55" s="1082"/>
      <c r="D55" s="1070"/>
      <c r="E55" s="307" t="s">
        <v>276</v>
      </c>
      <c r="F55" s="291">
        <f>[5]Druhova!G50</f>
        <v>46119.795700000002</v>
      </c>
      <c r="G55" s="291">
        <f>[5]Druhova!B50</f>
        <v>14833</v>
      </c>
      <c r="H55" s="291">
        <f>[5]Druhova!C50</f>
        <v>53379.41994</v>
      </c>
      <c r="I55" s="291">
        <f>[5]Druhova!D50</f>
        <v>65563.781470000002</v>
      </c>
      <c r="J55" s="291">
        <f t="shared" si="0"/>
        <v>122.82595341743236</v>
      </c>
      <c r="K55" s="292">
        <f t="shared" si="1"/>
        <v>142.15973959745881</v>
      </c>
      <c r="L55" s="260"/>
      <c r="M55" s="260"/>
      <c r="N55" s="260"/>
      <c r="O55" s="260"/>
      <c r="P55" s="260"/>
      <c r="S55" s="261"/>
      <c r="T55" s="261"/>
      <c r="U55" s="261"/>
      <c r="V55" s="261"/>
      <c r="W55" s="261"/>
      <c r="X55" s="261"/>
      <c r="Y55" s="261"/>
      <c r="Z55" s="261"/>
      <c r="AA55" s="261"/>
      <c r="AB55" s="261"/>
    </row>
    <row r="56" spans="1:28" ht="24.2" customHeight="1">
      <c r="A56" s="1060"/>
      <c r="B56" s="1061"/>
      <c r="C56" s="1081">
        <v>231</v>
      </c>
      <c r="D56" s="1061"/>
      <c r="E56" s="306" t="s">
        <v>277</v>
      </c>
      <c r="F56" s="288">
        <f>[5]Druhova!G51</f>
        <v>2256.0142999999998</v>
      </c>
      <c r="G56" s="288">
        <f>[5]Druhova!B51</f>
        <v>2057.8000000000002</v>
      </c>
      <c r="H56" s="288">
        <f>[5]Druhova!C51</f>
        <v>3509.74955</v>
      </c>
      <c r="I56" s="288">
        <f>[5]Druhova!D51</f>
        <v>3471.6540599999998</v>
      </c>
      <c r="J56" s="288">
        <f t="shared" si="0"/>
        <v>98.914580956353419</v>
      </c>
      <c r="K56" s="289">
        <f t="shared" si="1"/>
        <v>153.88439958026862</v>
      </c>
      <c r="L56" s="260"/>
      <c r="M56" s="260"/>
      <c r="N56" s="260"/>
      <c r="O56" s="260"/>
      <c r="P56" s="260"/>
      <c r="S56" s="261"/>
      <c r="T56" s="261"/>
      <c r="U56" s="261"/>
      <c r="V56" s="261"/>
      <c r="W56" s="261"/>
      <c r="X56" s="261"/>
      <c r="Y56" s="261"/>
      <c r="Z56" s="261"/>
      <c r="AA56" s="261"/>
      <c r="AB56" s="261"/>
    </row>
    <row r="57" spans="1:28" ht="15.95" customHeight="1">
      <c r="A57" s="1060"/>
      <c r="B57" s="1061"/>
      <c r="C57" s="1081">
        <v>232</v>
      </c>
      <c r="D57" s="1061"/>
      <c r="E57" s="306" t="s">
        <v>278</v>
      </c>
      <c r="F57" s="288">
        <f>[5]Druhova!G52</f>
        <v>375740.73783</v>
      </c>
      <c r="G57" s="288">
        <f>[5]Druhova!B52</f>
        <v>210074</v>
      </c>
      <c r="H57" s="288">
        <f>[5]Druhova!C52</f>
        <v>394234.65227000002</v>
      </c>
      <c r="I57" s="288">
        <f>[5]Druhova!D52</f>
        <v>386219.29470999999</v>
      </c>
      <c r="J57" s="288">
        <f t="shared" si="0"/>
        <v>97.966856156898515</v>
      </c>
      <c r="K57" s="289">
        <f t="shared" si="1"/>
        <v>102.78877316857266</v>
      </c>
      <c r="L57" s="260"/>
      <c r="M57" s="260"/>
      <c r="N57" s="260"/>
      <c r="O57" s="260"/>
      <c r="P57" s="260"/>
      <c r="S57" s="261"/>
      <c r="T57" s="261"/>
      <c r="U57" s="261"/>
      <c r="V57" s="261"/>
      <c r="W57" s="261"/>
      <c r="X57" s="261"/>
      <c r="Y57" s="261"/>
      <c r="Z57" s="261"/>
      <c r="AA57" s="261"/>
      <c r="AB57" s="261"/>
    </row>
    <row r="58" spans="1:28" ht="10.5" customHeight="1">
      <c r="A58" s="1060"/>
      <c r="B58" s="1061"/>
      <c r="C58" s="1081">
        <v>234</v>
      </c>
      <c r="D58" s="1061"/>
      <c r="E58" s="306" t="s">
        <v>279</v>
      </c>
      <c r="F58" s="288">
        <f>[5]Druhova!G53</f>
        <v>0</v>
      </c>
      <c r="G58" s="288">
        <f>[5]Druhova!B53</f>
        <v>0</v>
      </c>
      <c r="H58" s="288">
        <f>[5]Druhova!C53</f>
        <v>0</v>
      </c>
      <c r="I58" s="288">
        <f>[5]Druhova!D53</f>
        <v>0</v>
      </c>
      <c r="J58" s="288" t="str">
        <f t="shared" si="0"/>
        <v/>
      </c>
      <c r="K58" s="289" t="str">
        <f t="shared" si="1"/>
        <v/>
      </c>
      <c r="L58" s="260"/>
      <c r="M58" s="260"/>
      <c r="N58" s="260"/>
      <c r="O58" s="260"/>
      <c r="P58" s="260"/>
      <c r="S58" s="261"/>
      <c r="T58" s="261"/>
      <c r="U58" s="261"/>
      <c r="V58" s="261"/>
      <c r="W58" s="261"/>
      <c r="X58" s="261"/>
      <c r="Y58" s="261"/>
      <c r="Z58" s="261"/>
      <c r="AA58" s="261"/>
      <c r="AB58" s="261"/>
    </row>
    <row r="59" spans="1:28" ht="11.25" customHeight="1">
      <c r="A59" s="1060"/>
      <c r="B59" s="1061"/>
      <c r="C59" s="1081">
        <v>235</v>
      </c>
      <c r="D59" s="1061"/>
      <c r="E59" s="306" t="s">
        <v>280</v>
      </c>
      <c r="F59" s="288">
        <f>[5]Druhova!G54</f>
        <v>0</v>
      </c>
      <c r="G59" s="288">
        <f>[5]Druhova!B54</f>
        <v>0</v>
      </c>
      <c r="H59" s="288">
        <f>[5]Druhova!C54</f>
        <v>0</v>
      </c>
      <c r="I59" s="288">
        <f>[5]Druhova!D54</f>
        <v>0</v>
      </c>
      <c r="J59" s="288" t="str">
        <f t="shared" si="0"/>
        <v/>
      </c>
      <c r="K59" s="289" t="str">
        <f t="shared" si="1"/>
        <v/>
      </c>
      <c r="L59" s="260"/>
      <c r="M59" s="260"/>
      <c r="N59" s="260"/>
      <c r="O59" s="260"/>
      <c r="P59" s="260"/>
      <c r="S59" s="261"/>
      <c r="T59" s="261"/>
      <c r="U59" s="261"/>
      <c r="V59" s="261"/>
      <c r="W59" s="261"/>
      <c r="X59" s="261"/>
      <c r="Y59" s="261"/>
      <c r="Z59" s="261"/>
      <c r="AA59" s="261"/>
      <c r="AB59" s="261"/>
    </row>
    <row r="60" spans="1:28" s="286" customFormat="1" ht="11.25" customHeight="1">
      <c r="A60" s="1060"/>
      <c r="B60" s="1061"/>
      <c r="C60" s="1081">
        <v>236</v>
      </c>
      <c r="D60" s="1061"/>
      <c r="E60" s="306" t="s">
        <v>281</v>
      </c>
      <c r="F60" s="288">
        <f>[5]Druhova!G55</f>
        <v>0</v>
      </c>
      <c r="G60" s="288">
        <f>[5]Druhova!B55</f>
        <v>0</v>
      </c>
      <c r="H60" s="288">
        <f>[5]Druhova!C55</f>
        <v>0</v>
      </c>
      <c r="I60" s="288">
        <f>[5]Druhova!D55</f>
        <v>0</v>
      </c>
      <c r="J60" s="288" t="str">
        <f t="shared" si="0"/>
        <v/>
      </c>
      <c r="K60" s="289" t="str">
        <f t="shared" si="1"/>
        <v/>
      </c>
      <c r="L60" s="285"/>
      <c r="M60" s="285"/>
      <c r="N60" s="285"/>
      <c r="O60" s="285"/>
      <c r="P60" s="285"/>
      <c r="Q60" s="285"/>
      <c r="R60" s="285"/>
    </row>
    <row r="61" spans="1:28" ht="23.65" customHeight="1">
      <c r="A61" s="1065"/>
      <c r="B61" s="1070">
        <v>23</v>
      </c>
      <c r="C61" s="1082"/>
      <c r="D61" s="1070"/>
      <c r="E61" s="307" t="s">
        <v>282</v>
      </c>
      <c r="F61" s="291">
        <f>[5]Druhova!G56</f>
        <v>377996.75212999998</v>
      </c>
      <c r="G61" s="291">
        <f>[5]Druhova!B56</f>
        <v>212131.8</v>
      </c>
      <c r="H61" s="291">
        <f>[5]Druhova!C56</f>
        <v>397744.40182000003</v>
      </c>
      <c r="I61" s="291">
        <f>[5]Druhova!D56</f>
        <v>389690.94877000002</v>
      </c>
      <c r="J61" s="291">
        <f t="shared" si="0"/>
        <v>97.975219006691489</v>
      </c>
      <c r="K61" s="292">
        <f t="shared" si="1"/>
        <v>103.09372939690715</v>
      </c>
      <c r="L61" s="260"/>
      <c r="M61" s="260"/>
      <c r="N61" s="260"/>
      <c r="O61" s="260"/>
      <c r="P61" s="260"/>
      <c r="S61" s="261"/>
      <c r="T61" s="261"/>
      <c r="U61" s="261"/>
      <c r="V61" s="261"/>
      <c r="W61" s="261"/>
      <c r="X61" s="261"/>
      <c r="Y61" s="261"/>
      <c r="Z61" s="261"/>
      <c r="AA61" s="261"/>
      <c r="AB61" s="261"/>
    </row>
    <row r="62" spans="1:28" ht="22.5">
      <c r="A62" s="1060"/>
      <c r="B62" s="1061"/>
      <c r="C62" s="1081">
        <v>241</v>
      </c>
      <c r="D62" s="1061"/>
      <c r="E62" s="306" t="s">
        <v>283</v>
      </c>
      <c r="F62" s="288">
        <f>[5]Druhova!G57</f>
        <v>0</v>
      </c>
      <c r="G62" s="288">
        <f>[5]Druhova!B57</f>
        <v>0</v>
      </c>
      <c r="H62" s="288">
        <f>[5]Druhova!C57</f>
        <v>0</v>
      </c>
      <c r="I62" s="288">
        <f>[5]Druhova!D57</f>
        <v>0</v>
      </c>
      <c r="J62" s="288" t="str">
        <f t="shared" si="0"/>
        <v/>
      </c>
      <c r="K62" s="289" t="str">
        <f t="shared" si="1"/>
        <v/>
      </c>
      <c r="L62" s="260"/>
      <c r="M62" s="260"/>
      <c r="N62" s="260"/>
      <c r="O62" s="260"/>
      <c r="P62" s="260"/>
      <c r="S62" s="261"/>
      <c r="T62" s="261"/>
      <c r="U62" s="261"/>
      <c r="V62" s="261"/>
      <c r="W62" s="261"/>
      <c r="X62" s="261"/>
      <c r="Y62" s="261"/>
      <c r="Z62" s="261"/>
      <c r="AA62" s="261"/>
      <c r="AB62" s="261"/>
    </row>
    <row r="63" spans="1:28" ht="22.5" customHeight="1">
      <c r="A63" s="1060"/>
      <c r="B63" s="1061"/>
      <c r="C63" s="1081">
        <v>242</v>
      </c>
      <c r="D63" s="1061"/>
      <c r="E63" s="306" t="s">
        <v>284</v>
      </c>
      <c r="F63" s="288">
        <f>[5]Druhova!G58</f>
        <v>0</v>
      </c>
      <c r="G63" s="288">
        <f>[5]Druhova!B58</f>
        <v>0</v>
      </c>
      <c r="H63" s="288">
        <f>[5]Druhova!C58</f>
        <v>0</v>
      </c>
      <c r="I63" s="288">
        <f>[5]Druhova!D58</f>
        <v>0</v>
      </c>
      <c r="J63" s="288" t="str">
        <f t="shared" si="0"/>
        <v/>
      </c>
      <c r="K63" s="289" t="str">
        <f t="shared" si="1"/>
        <v/>
      </c>
      <c r="L63" s="260"/>
      <c r="M63" s="260"/>
      <c r="N63" s="260"/>
      <c r="O63" s="260"/>
      <c r="P63" s="260"/>
      <c r="S63" s="261"/>
      <c r="T63" s="261"/>
      <c r="U63" s="261"/>
      <c r="V63" s="261"/>
      <c r="W63" s="261"/>
      <c r="X63" s="261"/>
      <c r="Y63" s="261"/>
      <c r="Z63" s="261"/>
      <c r="AA63" s="261"/>
      <c r="AB63" s="261"/>
    </row>
    <row r="64" spans="1:28" ht="22.5" customHeight="1">
      <c r="A64" s="1060"/>
      <c r="B64" s="1061"/>
      <c r="C64" s="1081">
        <v>243</v>
      </c>
      <c r="D64" s="1061"/>
      <c r="E64" s="306" t="s">
        <v>285</v>
      </c>
      <c r="F64" s="288">
        <f>[5]Druhova!G59</f>
        <v>0</v>
      </c>
      <c r="G64" s="288">
        <f>[5]Druhova!B59</f>
        <v>0</v>
      </c>
      <c r="H64" s="288">
        <f>[5]Druhova!C59</f>
        <v>0</v>
      </c>
      <c r="I64" s="288">
        <f>[5]Druhova!D59</f>
        <v>0</v>
      </c>
      <c r="J64" s="288" t="str">
        <f t="shared" si="0"/>
        <v/>
      </c>
      <c r="K64" s="289" t="str">
        <f t="shared" si="1"/>
        <v/>
      </c>
      <c r="L64" s="260"/>
      <c r="M64" s="260"/>
      <c r="N64" s="260"/>
      <c r="O64" s="260"/>
      <c r="P64" s="260"/>
      <c r="S64" s="261"/>
      <c r="T64" s="261"/>
      <c r="U64" s="261"/>
      <c r="V64" s="261"/>
      <c r="W64" s="261"/>
      <c r="X64" s="261"/>
      <c r="Y64" s="261"/>
      <c r="Z64" s="261"/>
      <c r="AA64" s="261"/>
      <c r="AB64" s="261"/>
    </row>
    <row r="65" spans="1:28" ht="22.5" customHeight="1">
      <c r="A65" s="1060"/>
      <c r="B65" s="1061"/>
      <c r="C65" s="1081">
        <v>244</v>
      </c>
      <c r="D65" s="1061"/>
      <c r="E65" s="306" t="s">
        <v>286</v>
      </c>
      <c r="F65" s="288">
        <f>[5]Druhova!G60</f>
        <v>0</v>
      </c>
      <c r="G65" s="288">
        <f>[5]Druhova!B60</f>
        <v>0</v>
      </c>
      <c r="H65" s="288">
        <f>[5]Druhova!C60</f>
        <v>0</v>
      </c>
      <c r="I65" s="288">
        <f>[5]Druhova!D60</f>
        <v>0</v>
      </c>
      <c r="J65" s="288" t="str">
        <f t="shared" si="0"/>
        <v/>
      </c>
      <c r="K65" s="289" t="str">
        <f t="shared" si="1"/>
        <v/>
      </c>
      <c r="L65" s="260"/>
      <c r="M65" s="260"/>
      <c r="N65" s="260"/>
      <c r="O65" s="260"/>
      <c r="P65" s="260"/>
      <c r="S65" s="261"/>
      <c r="T65" s="261"/>
      <c r="U65" s="261"/>
      <c r="V65" s="261"/>
      <c r="W65" s="261"/>
      <c r="X65" s="261"/>
      <c r="Y65" s="261"/>
      <c r="Z65" s="261"/>
      <c r="AA65" s="261"/>
      <c r="AB65" s="261"/>
    </row>
    <row r="66" spans="1:28" ht="22.5" customHeight="1">
      <c r="A66" s="1060"/>
      <c r="B66" s="1061"/>
      <c r="C66" s="1081">
        <v>245</v>
      </c>
      <c r="D66" s="1061"/>
      <c r="E66" s="306" t="s">
        <v>287</v>
      </c>
      <c r="F66" s="288">
        <f>[5]Druhova!G61</f>
        <v>0</v>
      </c>
      <c r="G66" s="288">
        <f>[5]Druhova!B61</f>
        <v>0</v>
      </c>
      <c r="H66" s="288">
        <f>[5]Druhova!C61</f>
        <v>0</v>
      </c>
      <c r="I66" s="288">
        <f>[5]Druhova!D61</f>
        <v>0</v>
      </c>
      <c r="J66" s="288" t="str">
        <f t="shared" si="0"/>
        <v/>
      </c>
      <c r="K66" s="289" t="str">
        <f t="shared" si="1"/>
        <v/>
      </c>
      <c r="L66" s="260"/>
      <c r="M66" s="260"/>
      <c r="N66" s="260"/>
      <c r="O66" s="260"/>
      <c r="P66" s="260"/>
      <c r="S66" s="261"/>
      <c r="T66" s="261"/>
      <c r="U66" s="261"/>
      <c r="V66" s="261"/>
      <c r="W66" s="261"/>
      <c r="X66" s="261"/>
      <c r="Y66" s="261"/>
      <c r="Z66" s="261"/>
      <c r="AA66" s="261"/>
      <c r="AB66" s="261"/>
    </row>
    <row r="67" spans="1:28">
      <c r="A67" s="1060"/>
      <c r="B67" s="1061"/>
      <c r="C67" s="1081">
        <v>246</v>
      </c>
      <c r="D67" s="1061"/>
      <c r="E67" s="306" t="s">
        <v>288</v>
      </c>
      <c r="F67" s="288">
        <f>[5]Druhova!G62</f>
        <v>0</v>
      </c>
      <c r="G67" s="288">
        <f>[5]Druhova!B62</f>
        <v>0</v>
      </c>
      <c r="H67" s="288">
        <f>[5]Druhova!C62</f>
        <v>0</v>
      </c>
      <c r="I67" s="288">
        <f>[5]Druhova!D62</f>
        <v>0</v>
      </c>
      <c r="J67" s="288" t="str">
        <f t="shared" si="0"/>
        <v/>
      </c>
      <c r="K67" s="289" t="str">
        <f t="shared" si="1"/>
        <v/>
      </c>
      <c r="L67" s="260"/>
      <c r="M67" s="260"/>
      <c r="N67" s="260"/>
      <c r="O67" s="260"/>
      <c r="P67" s="260"/>
      <c r="S67" s="261"/>
      <c r="T67" s="261"/>
      <c r="U67" s="261"/>
      <c r="V67" s="261"/>
      <c r="W67" s="261"/>
      <c r="X67" s="261"/>
      <c r="Y67" s="261"/>
      <c r="Z67" s="261"/>
      <c r="AA67" s="261"/>
      <c r="AB67" s="261"/>
    </row>
    <row r="68" spans="1:28" ht="11.25" customHeight="1">
      <c r="A68" s="1060"/>
      <c r="B68" s="1061"/>
      <c r="C68" s="1081">
        <v>247</v>
      </c>
      <c r="D68" s="1061"/>
      <c r="E68" s="306" t="s">
        <v>289</v>
      </c>
      <c r="F68" s="288">
        <f>[5]Druhova!G63</f>
        <v>0</v>
      </c>
      <c r="G68" s="288">
        <f>[5]Druhova!B63</f>
        <v>0</v>
      </c>
      <c r="H68" s="288">
        <f>[5]Druhova!C63</f>
        <v>0</v>
      </c>
      <c r="I68" s="288">
        <f>[5]Druhova!D63</f>
        <v>0</v>
      </c>
      <c r="J68" s="288" t="str">
        <f t="shared" si="0"/>
        <v/>
      </c>
      <c r="K68" s="289" t="str">
        <f t="shared" si="1"/>
        <v/>
      </c>
      <c r="L68" s="260"/>
      <c r="M68" s="260"/>
      <c r="N68" s="260"/>
      <c r="O68" s="260"/>
      <c r="P68" s="260"/>
      <c r="S68" s="261"/>
      <c r="T68" s="261"/>
      <c r="U68" s="261"/>
      <c r="V68" s="261"/>
      <c r="W68" s="261"/>
      <c r="X68" s="261"/>
      <c r="Y68" s="261"/>
      <c r="Z68" s="261"/>
      <c r="AA68" s="261"/>
      <c r="AB68" s="261"/>
    </row>
    <row r="69" spans="1:28" s="286" customFormat="1" ht="12" customHeight="1">
      <c r="A69" s="1060"/>
      <c r="B69" s="1061"/>
      <c r="C69" s="1081">
        <v>248</v>
      </c>
      <c r="D69" s="1061"/>
      <c r="E69" s="306" t="s">
        <v>290</v>
      </c>
      <c r="F69" s="288">
        <f>[5]Druhova!G64</f>
        <v>0</v>
      </c>
      <c r="G69" s="288">
        <f>[5]Druhova!B64</f>
        <v>0</v>
      </c>
      <c r="H69" s="288">
        <f>[5]Druhova!C64</f>
        <v>0</v>
      </c>
      <c r="I69" s="288">
        <f>[5]Druhova!D64</f>
        <v>0</v>
      </c>
      <c r="J69" s="288" t="str">
        <f t="shared" si="0"/>
        <v/>
      </c>
      <c r="K69" s="289" t="str">
        <f t="shared" si="1"/>
        <v/>
      </c>
      <c r="L69" s="285"/>
      <c r="M69" s="285"/>
      <c r="N69" s="285"/>
      <c r="O69" s="285"/>
      <c r="P69" s="285"/>
      <c r="Q69" s="285"/>
      <c r="R69" s="285"/>
    </row>
    <row r="70" spans="1:28" s="286" customFormat="1" ht="17.45" customHeight="1">
      <c r="A70" s="1065"/>
      <c r="B70" s="1083">
        <v>24</v>
      </c>
      <c r="C70" s="1084"/>
      <c r="D70" s="1083"/>
      <c r="E70" s="308" t="s">
        <v>291</v>
      </c>
      <c r="F70" s="291">
        <f>[5]Druhova!G65</f>
        <v>0</v>
      </c>
      <c r="G70" s="291">
        <f>[5]Druhova!B65</f>
        <v>0</v>
      </c>
      <c r="H70" s="291">
        <f>[5]Druhova!C65</f>
        <v>0</v>
      </c>
      <c r="I70" s="291">
        <f>[5]Druhova!D65</f>
        <v>0</v>
      </c>
      <c r="J70" s="309" t="str">
        <f t="shared" si="0"/>
        <v/>
      </c>
      <c r="K70" s="310" t="str">
        <f t="shared" si="1"/>
        <v/>
      </c>
      <c r="L70" s="285"/>
      <c r="M70" s="285"/>
      <c r="N70" s="285"/>
      <c r="O70" s="285"/>
      <c r="P70" s="285"/>
      <c r="Q70" s="285"/>
      <c r="R70" s="285"/>
    </row>
    <row r="71" spans="1:28" s="286" customFormat="1" ht="12.75" customHeight="1">
      <c r="A71" s="1085"/>
      <c r="B71" s="1086"/>
      <c r="C71" s="1087">
        <v>251</v>
      </c>
      <c r="D71" s="1088"/>
      <c r="E71" s="311" t="s">
        <v>292</v>
      </c>
      <c r="F71" s="288">
        <f>[5]Druhova!G66</f>
        <v>0</v>
      </c>
      <c r="G71" s="288">
        <f>[5]Druhova!B66</f>
        <v>0</v>
      </c>
      <c r="H71" s="288">
        <f>[5]Druhova!C66</f>
        <v>0</v>
      </c>
      <c r="I71" s="288">
        <f>[5]Druhova!D66</f>
        <v>0</v>
      </c>
      <c r="J71" s="312" t="str">
        <f>IF(H71=0,"",I71/H71*100)</f>
        <v/>
      </c>
      <c r="K71" s="313" t="str">
        <f>IF(F71=0,"",I71/F71*100)</f>
        <v/>
      </c>
      <c r="L71" s="285"/>
      <c r="M71" s="285"/>
      <c r="N71" s="285"/>
      <c r="O71" s="285"/>
      <c r="P71" s="285"/>
      <c r="Q71" s="285"/>
      <c r="R71" s="285"/>
    </row>
    <row r="72" spans="1:28" s="286" customFormat="1" ht="17.45" customHeight="1" thickBot="1">
      <c r="A72" s="1089"/>
      <c r="B72" s="1090">
        <v>25</v>
      </c>
      <c r="C72" s="1090"/>
      <c r="D72" s="1091"/>
      <c r="E72" s="314" t="s">
        <v>293</v>
      </c>
      <c r="F72" s="315">
        <f>[5]Druhova!G67</f>
        <v>0</v>
      </c>
      <c r="G72" s="315">
        <f>[5]Druhova!B67</f>
        <v>0</v>
      </c>
      <c r="H72" s="315">
        <f>[5]Druhova!C67</f>
        <v>0</v>
      </c>
      <c r="I72" s="315">
        <f>[5]Druhova!D67</f>
        <v>0</v>
      </c>
      <c r="J72" s="309" t="str">
        <f>IF(H72=0,"",I72/H72*100)</f>
        <v/>
      </c>
      <c r="K72" s="310" t="str">
        <f>IF(F72=0,"",I72/F72*100)</f>
        <v/>
      </c>
      <c r="L72" s="285"/>
      <c r="M72" s="285"/>
      <c r="N72" s="285"/>
      <c r="O72" s="285"/>
      <c r="P72" s="285"/>
      <c r="Q72" s="285"/>
      <c r="R72" s="285"/>
    </row>
    <row r="73" spans="1:28" s="286" customFormat="1" ht="21" customHeight="1" thickBot="1">
      <c r="A73" s="1075">
        <v>2</v>
      </c>
      <c r="B73" s="1076"/>
      <c r="C73" s="1077"/>
      <c r="D73" s="1092"/>
      <c r="E73" s="298" t="s">
        <v>294</v>
      </c>
      <c r="F73" s="304">
        <f>[5]Druhova!G68</f>
        <v>588223.10259000002</v>
      </c>
      <c r="G73" s="301">
        <f>[5]Druhova!B68</f>
        <v>343819</v>
      </c>
      <c r="H73" s="301">
        <f>[5]Druhova!C68</f>
        <v>665097.83239999996</v>
      </c>
      <c r="I73" s="301">
        <f>[5]Druhova!D68</f>
        <v>667591.37383000006</v>
      </c>
      <c r="J73" s="301">
        <f t="shared" si="0"/>
        <v>100.37491348017211</v>
      </c>
      <c r="K73" s="302">
        <f t="shared" si="1"/>
        <v>113.49288575891261</v>
      </c>
      <c r="L73" s="285"/>
      <c r="M73" s="285"/>
      <c r="N73" s="285"/>
      <c r="O73" s="285"/>
      <c r="P73" s="285"/>
      <c r="Q73" s="285"/>
      <c r="R73" s="285"/>
    </row>
    <row r="74" spans="1:28" ht="23.25" customHeight="1">
      <c r="A74" s="1060"/>
      <c r="B74" s="1061"/>
      <c r="C74" s="1081">
        <v>311</v>
      </c>
      <c r="D74" s="1061"/>
      <c r="E74" s="306" t="s">
        <v>295</v>
      </c>
      <c r="F74" s="288">
        <f>[5]Druhova!G69</f>
        <v>115537.61844000001</v>
      </c>
      <c r="G74" s="288">
        <f>[5]Druhova!B69</f>
        <v>555104</v>
      </c>
      <c r="H74" s="288">
        <f>[5]Druhova!C69</f>
        <v>216402.16759999999</v>
      </c>
      <c r="I74" s="288">
        <f>[5]Druhova!D69</f>
        <v>200966.26366999999</v>
      </c>
      <c r="J74" s="288">
        <f t="shared" si="0"/>
        <v>92.867028966857717</v>
      </c>
      <c r="K74" s="289">
        <f t="shared" si="1"/>
        <v>173.94011265202255</v>
      </c>
      <c r="L74" s="260"/>
      <c r="M74" s="260"/>
      <c r="N74" s="260"/>
      <c r="O74" s="260"/>
      <c r="P74" s="260"/>
      <c r="S74" s="261"/>
      <c r="T74" s="261"/>
      <c r="U74" s="261"/>
      <c r="V74" s="261"/>
      <c r="W74" s="261"/>
      <c r="X74" s="261"/>
      <c r="Y74" s="261"/>
      <c r="Z74" s="261"/>
      <c r="AA74" s="261"/>
      <c r="AB74" s="261"/>
    </row>
    <row r="75" spans="1:28" s="286" customFormat="1" ht="16.7" customHeight="1">
      <c r="A75" s="1060"/>
      <c r="B75" s="1061"/>
      <c r="C75" s="1081">
        <v>312</v>
      </c>
      <c r="D75" s="1061"/>
      <c r="E75" s="306" t="s">
        <v>296</v>
      </c>
      <c r="F75" s="288">
        <f>[5]Druhova!G70</f>
        <v>32723.52017</v>
      </c>
      <c r="G75" s="288">
        <f>[5]Druhova!B70</f>
        <v>1077</v>
      </c>
      <c r="H75" s="288">
        <f>[5]Druhova!C70</f>
        <v>18500</v>
      </c>
      <c r="I75" s="288">
        <f>[5]Druhova!D70</f>
        <v>26855.411769999999</v>
      </c>
      <c r="J75" s="288">
        <f t="shared" si="0"/>
        <v>145.16438794594595</v>
      </c>
      <c r="K75" s="289">
        <f t="shared" si="1"/>
        <v>82.067612623840773</v>
      </c>
      <c r="L75" s="285"/>
      <c r="M75" s="285"/>
      <c r="N75" s="285"/>
      <c r="O75" s="285"/>
      <c r="P75" s="285"/>
      <c r="Q75" s="285"/>
      <c r="R75" s="285"/>
    </row>
    <row r="76" spans="1:28" ht="25.5" customHeight="1">
      <c r="A76" s="1065"/>
      <c r="B76" s="1070">
        <v>31</v>
      </c>
      <c r="C76" s="1082"/>
      <c r="D76" s="1070"/>
      <c r="E76" s="307" t="s">
        <v>297</v>
      </c>
      <c r="F76" s="291">
        <f>[5]Druhova!G71</f>
        <v>148261.13860999999</v>
      </c>
      <c r="G76" s="291">
        <f>[5]Druhova!B71</f>
        <v>556181</v>
      </c>
      <c r="H76" s="291">
        <f>[5]Druhova!C71</f>
        <v>234902.16759999999</v>
      </c>
      <c r="I76" s="291">
        <f>[5]Druhova!D71</f>
        <v>227821.67543999999</v>
      </c>
      <c r="J76" s="291">
        <f t="shared" si="0"/>
        <v>96.98576976434849</v>
      </c>
      <c r="K76" s="292">
        <f t="shared" si="1"/>
        <v>153.66243479303333</v>
      </c>
      <c r="L76" s="260"/>
      <c r="M76" s="260"/>
      <c r="N76" s="260"/>
      <c r="O76" s="260"/>
      <c r="P76" s="260"/>
      <c r="S76" s="261"/>
      <c r="T76" s="261"/>
      <c r="U76" s="261"/>
      <c r="V76" s="261"/>
      <c r="W76" s="261"/>
      <c r="X76" s="261"/>
      <c r="Y76" s="261"/>
      <c r="Z76" s="261"/>
      <c r="AA76" s="261"/>
      <c r="AB76" s="261"/>
    </row>
    <row r="77" spans="1:28" s="286" customFormat="1" ht="14.25" customHeight="1">
      <c r="A77" s="1060"/>
      <c r="B77" s="1061"/>
      <c r="C77" s="1081">
        <v>320</v>
      </c>
      <c r="D77" s="1061"/>
      <c r="E77" s="306" t="s">
        <v>298</v>
      </c>
      <c r="F77" s="288">
        <f>[5]Druhova!G72</f>
        <v>0</v>
      </c>
      <c r="G77" s="288">
        <f>[5]Druhova!B72</f>
        <v>0</v>
      </c>
      <c r="H77" s="288">
        <f>[5]Druhova!C72</f>
        <v>0</v>
      </c>
      <c r="I77" s="288">
        <f>[5]Druhova!D72</f>
        <v>0</v>
      </c>
      <c r="J77" s="288" t="str">
        <f t="shared" si="0"/>
        <v/>
      </c>
      <c r="K77" s="289" t="str">
        <f t="shared" si="1"/>
        <v/>
      </c>
      <c r="L77" s="285"/>
      <c r="M77" s="285"/>
      <c r="N77" s="285"/>
      <c r="O77" s="285"/>
      <c r="P77" s="285"/>
      <c r="Q77" s="285"/>
      <c r="R77" s="285"/>
    </row>
    <row r="78" spans="1:28" s="286" customFormat="1" ht="24.75" thickBot="1">
      <c r="A78" s="1065"/>
      <c r="B78" s="1070">
        <v>32</v>
      </c>
      <c r="C78" s="1082"/>
      <c r="D78" s="1070"/>
      <c r="E78" s="307" t="s">
        <v>298</v>
      </c>
      <c r="F78" s="315">
        <f>[5]Druhova!G73</f>
        <v>0</v>
      </c>
      <c r="G78" s="315">
        <f>[5]Druhova!B73</f>
        <v>0</v>
      </c>
      <c r="H78" s="315">
        <f>[5]Druhova!C73</f>
        <v>0</v>
      </c>
      <c r="I78" s="315">
        <f>[5]Druhova!D73</f>
        <v>0</v>
      </c>
      <c r="J78" s="296" t="str">
        <f t="shared" si="0"/>
        <v/>
      </c>
      <c r="K78" s="297" t="str">
        <f t="shared" si="1"/>
        <v/>
      </c>
      <c r="L78" s="285"/>
      <c r="M78" s="285"/>
      <c r="N78" s="285"/>
      <c r="O78" s="285"/>
      <c r="P78" s="285"/>
      <c r="Q78" s="285"/>
      <c r="R78" s="285"/>
    </row>
    <row r="79" spans="1:28" s="286" customFormat="1" ht="24.95" customHeight="1" thickBot="1">
      <c r="A79" s="1075">
        <v>3</v>
      </c>
      <c r="B79" s="1076"/>
      <c r="C79" s="1093"/>
      <c r="D79" s="1076"/>
      <c r="E79" s="316" t="s">
        <v>299</v>
      </c>
      <c r="F79" s="304">
        <f>[5]Druhova!G74</f>
        <v>148261.13860999999</v>
      </c>
      <c r="G79" s="301">
        <f>[5]Druhova!B74</f>
        <v>556181</v>
      </c>
      <c r="H79" s="301">
        <f>[5]Druhova!C74</f>
        <v>234902.16759999999</v>
      </c>
      <c r="I79" s="301">
        <f>[5]Druhova!D74</f>
        <v>227821.67543999999</v>
      </c>
      <c r="J79" s="300">
        <f t="shared" si="0"/>
        <v>96.98576976434849</v>
      </c>
      <c r="K79" s="305">
        <f t="shared" si="1"/>
        <v>153.66243479303333</v>
      </c>
      <c r="L79" s="285"/>
      <c r="M79" s="285"/>
      <c r="N79" s="285"/>
      <c r="O79" s="285"/>
      <c r="P79" s="285"/>
      <c r="Q79" s="285"/>
      <c r="R79" s="285"/>
    </row>
    <row r="80" spans="1:28" ht="22.5">
      <c r="A80" s="1060"/>
      <c r="B80" s="1061"/>
      <c r="C80" s="1081">
        <v>411</v>
      </c>
      <c r="D80" s="1061"/>
      <c r="E80" s="306" t="s">
        <v>300</v>
      </c>
      <c r="F80" s="288">
        <f>[5]Druhova!G75</f>
        <v>692533.68917999999</v>
      </c>
      <c r="G80" s="288">
        <f>[5]Druhova!B75</f>
        <v>45924.07</v>
      </c>
      <c r="H80" s="288">
        <f>[5]Druhova!C75</f>
        <v>736581.15833999997</v>
      </c>
      <c r="I80" s="288">
        <f>[5]Druhova!D75</f>
        <v>400353.77740000002</v>
      </c>
      <c r="J80" s="288">
        <f t="shared" ref="J80:J143" si="2">IF(H80=0,"",I80/H80*100)</f>
        <v>54.352975618092024</v>
      </c>
      <c r="K80" s="289">
        <f t="shared" ref="K80:K143" si="3">IF(F80=0,"",I80/F80*100)</f>
        <v>57.810007463180902</v>
      </c>
      <c r="L80" s="260"/>
      <c r="M80" s="260"/>
      <c r="N80" s="260"/>
      <c r="O80" s="260"/>
      <c r="P80" s="260"/>
      <c r="S80" s="261"/>
      <c r="T80" s="261"/>
      <c r="U80" s="261"/>
      <c r="V80" s="261"/>
      <c r="W80" s="261"/>
      <c r="X80" s="261"/>
      <c r="Y80" s="261"/>
      <c r="Z80" s="261"/>
      <c r="AA80" s="261"/>
      <c r="AB80" s="261"/>
    </row>
    <row r="81" spans="1:28" ht="16.7" customHeight="1">
      <c r="A81" s="1060"/>
      <c r="B81" s="1061"/>
      <c r="C81" s="1081"/>
      <c r="D81" s="1061">
        <v>4118</v>
      </c>
      <c r="E81" s="306" t="s">
        <v>301</v>
      </c>
      <c r="F81" s="288">
        <f>[5]Druhova!G76</f>
        <v>692533.68917999999</v>
      </c>
      <c r="G81" s="288">
        <f>[5]Druhova!B76</f>
        <v>45924.07</v>
      </c>
      <c r="H81" s="288">
        <f>[5]Druhova!C76</f>
        <v>736581.15833999997</v>
      </c>
      <c r="I81" s="288">
        <f>[5]Druhova!D76</f>
        <v>400353.77740000002</v>
      </c>
      <c r="J81" s="288">
        <f t="shared" si="2"/>
        <v>54.352975618092024</v>
      </c>
      <c r="K81" s="289">
        <f t="shared" si="3"/>
        <v>57.810007463180902</v>
      </c>
      <c r="L81" s="260"/>
      <c r="M81" s="260"/>
      <c r="N81" s="260"/>
      <c r="O81" s="260"/>
      <c r="P81" s="260"/>
      <c r="S81" s="261"/>
      <c r="T81" s="261"/>
      <c r="U81" s="261"/>
      <c r="V81" s="261"/>
      <c r="W81" s="261"/>
      <c r="X81" s="261"/>
      <c r="Y81" s="261"/>
      <c r="Z81" s="261"/>
      <c r="AA81" s="261"/>
      <c r="AB81" s="261"/>
    </row>
    <row r="82" spans="1:28" ht="22.5" customHeight="1">
      <c r="A82" s="1060"/>
      <c r="B82" s="1061"/>
      <c r="C82" s="1081">
        <v>412</v>
      </c>
      <c r="D82" s="1061"/>
      <c r="E82" s="306" t="s">
        <v>302</v>
      </c>
      <c r="F82" s="288">
        <f>[5]Druhova!G77</f>
        <v>49515.64183</v>
      </c>
      <c r="G82" s="288">
        <f>[5]Druhova!B77</f>
        <v>0</v>
      </c>
      <c r="H82" s="288">
        <f>[5]Druhova!C77</f>
        <v>0</v>
      </c>
      <c r="I82" s="288">
        <f>[5]Druhova!D77</f>
        <v>51798.116049999997</v>
      </c>
      <c r="J82" s="288" t="str">
        <f t="shared" si="2"/>
        <v/>
      </c>
      <c r="K82" s="289">
        <f t="shared" si="3"/>
        <v>104.60960241177186</v>
      </c>
      <c r="L82" s="260"/>
      <c r="M82" s="260"/>
      <c r="N82" s="260"/>
      <c r="O82" s="260"/>
      <c r="P82" s="260"/>
      <c r="S82" s="261"/>
      <c r="T82" s="261"/>
      <c r="U82" s="261"/>
      <c r="V82" s="261"/>
      <c r="W82" s="261"/>
      <c r="X82" s="261"/>
      <c r="Y82" s="261"/>
      <c r="Z82" s="261"/>
      <c r="AA82" s="261"/>
      <c r="AB82" s="261"/>
    </row>
    <row r="83" spans="1:28" ht="15.95" customHeight="1">
      <c r="A83" s="1060"/>
      <c r="B83" s="1061"/>
      <c r="C83" s="1081">
        <v>413</v>
      </c>
      <c r="D83" s="1061"/>
      <c r="E83" s="306" t="s">
        <v>303</v>
      </c>
      <c r="F83" s="288">
        <f>[5]Druhova!G78</f>
        <v>36947.787380000002</v>
      </c>
      <c r="G83" s="288">
        <f>[5]Druhova!B78</f>
        <v>0</v>
      </c>
      <c r="H83" s="288">
        <f>[5]Druhova!C78</f>
        <v>0</v>
      </c>
      <c r="I83" s="288">
        <f>[5]Druhova!D78</f>
        <v>263661.22577999998</v>
      </c>
      <c r="J83" s="288" t="str">
        <f t="shared" si="2"/>
        <v/>
      </c>
      <c r="K83" s="289">
        <f t="shared" si="3"/>
        <v>713.60491243576053</v>
      </c>
      <c r="L83" s="260"/>
      <c r="M83" s="260"/>
      <c r="N83" s="260"/>
      <c r="O83" s="260"/>
      <c r="P83" s="260"/>
      <c r="S83" s="261"/>
      <c r="T83" s="261"/>
      <c r="U83" s="261"/>
      <c r="V83" s="261"/>
      <c r="W83" s="261"/>
      <c r="X83" s="261"/>
      <c r="Y83" s="261"/>
      <c r="Z83" s="261"/>
      <c r="AA83" s="261"/>
      <c r="AB83" s="261"/>
    </row>
    <row r="84" spans="1:28" ht="15.95" customHeight="1">
      <c r="A84" s="1060"/>
      <c r="B84" s="1061"/>
      <c r="C84" s="1081">
        <v>415</v>
      </c>
      <c r="D84" s="1061"/>
      <c r="E84" s="306" t="s">
        <v>304</v>
      </c>
      <c r="F84" s="288">
        <f>[5]Druhova!G79</f>
        <v>106922.80442</v>
      </c>
      <c r="G84" s="288">
        <f>[5]Druhova!B79</f>
        <v>226356.13500000001</v>
      </c>
      <c r="H84" s="288">
        <f>[5]Druhova!C79</f>
        <v>226356.13500000001</v>
      </c>
      <c r="I84" s="288">
        <f>[5]Druhova!D79</f>
        <v>14810.638370000001</v>
      </c>
      <c r="J84" s="288">
        <f t="shared" si="2"/>
        <v>6.5430691198186439</v>
      </c>
      <c r="K84" s="289">
        <f t="shared" si="3"/>
        <v>13.85171147571365</v>
      </c>
      <c r="L84" s="260"/>
      <c r="M84" s="260"/>
      <c r="N84" s="260"/>
      <c r="O84" s="260"/>
      <c r="P84" s="260"/>
      <c r="S84" s="261"/>
      <c r="T84" s="261"/>
      <c r="U84" s="261"/>
      <c r="V84" s="261"/>
      <c r="W84" s="261"/>
      <c r="X84" s="261"/>
      <c r="Y84" s="261"/>
      <c r="Z84" s="261"/>
      <c r="AA84" s="261"/>
      <c r="AB84" s="261"/>
    </row>
    <row r="85" spans="1:28" ht="22.5">
      <c r="A85" s="1060"/>
      <c r="B85" s="1061"/>
      <c r="C85" s="1081"/>
      <c r="D85" s="1061">
        <v>4153</v>
      </c>
      <c r="E85" s="306" t="s">
        <v>305</v>
      </c>
      <c r="F85" s="288">
        <f>[5]Druhova!G80</f>
        <v>75570.775680000006</v>
      </c>
      <c r="G85" s="288">
        <f>[5]Druhova!B80</f>
        <v>226356.13500000001</v>
      </c>
      <c r="H85" s="288">
        <f>[5]Druhova!C80</f>
        <v>226356.13500000001</v>
      </c>
      <c r="I85" s="288">
        <f>[5]Druhova!D80</f>
        <v>13658.97148</v>
      </c>
      <c r="J85" s="288">
        <f t="shared" si="2"/>
        <v>6.0342837537847158</v>
      </c>
      <c r="K85" s="289">
        <f t="shared" si="3"/>
        <v>18.074409528146315</v>
      </c>
      <c r="L85" s="260"/>
      <c r="M85" s="260"/>
      <c r="N85" s="260"/>
      <c r="O85" s="260"/>
      <c r="P85" s="260"/>
      <c r="S85" s="261"/>
      <c r="T85" s="261"/>
      <c r="U85" s="261"/>
      <c r="V85" s="261"/>
      <c r="W85" s="261"/>
      <c r="X85" s="261"/>
      <c r="Y85" s="261"/>
      <c r="Z85" s="261"/>
      <c r="AA85" s="261"/>
      <c r="AB85" s="261"/>
    </row>
    <row r="86" spans="1:28" s="286" customFormat="1" ht="23.25" customHeight="1">
      <c r="A86" s="1060"/>
      <c r="B86" s="1061"/>
      <c r="C86" s="1081">
        <v>416</v>
      </c>
      <c r="D86" s="1061"/>
      <c r="E86" s="306" t="s">
        <v>306</v>
      </c>
      <c r="F86" s="288">
        <f>[5]Druhova!G81</f>
        <v>0</v>
      </c>
      <c r="G86" s="288">
        <f>[5]Druhova!B81</f>
        <v>0</v>
      </c>
      <c r="H86" s="288">
        <f>[5]Druhova!C81</f>
        <v>0</v>
      </c>
      <c r="I86" s="288">
        <f>[5]Druhova!D81</f>
        <v>0</v>
      </c>
      <c r="J86" s="288" t="str">
        <f t="shared" si="2"/>
        <v/>
      </c>
      <c r="K86" s="289" t="str">
        <f t="shared" si="3"/>
        <v/>
      </c>
      <c r="L86" s="285"/>
      <c r="M86" s="285"/>
      <c r="N86" s="285"/>
      <c r="O86" s="285"/>
      <c r="P86" s="285"/>
      <c r="Q86" s="285"/>
      <c r="R86" s="285"/>
    </row>
    <row r="87" spans="1:28" ht="17.45" customHeight="1">
      <c r="A87" s="1065"/>
      <c r="B87" s="1070">
        <v>41</v>
      </c>
      <c r="C87" s="1082"/>
      <c r="D87" s="1070"/>
      <c r="E87" s="307" t="s">
        <v>307</v>
      </c>
      <c r="F87" s="291">
        <f>[5]Druhova!G82</f>
        <v>885919.92281000002</v>
      </c>
      <c r="G87" s="291">
        <f>[5]Druhova!B82</f>
        <v>272280.20500000002</v>
      </c>
      <c r="H87" s="291">
        <f>[5]Druhova!C82</f>
        <v>962937.29333999997</v>
      </c>
      <c r="I87" s="291">
        <f>[5]Druhova!D82</f>
        <v>730623.75760000001</v>
      </c>
      <c r="J87" s="291">
        <f t="shared" si="2"/>
        <v>75.874489715295184</v>
      </c>
      <c r="K87" s="292">
        <f t="shared" si="3"/>
        <v>82.470631801864798</v>
      </c>
      <c r="L87" s="260"/>
      <c r="M87" s="260"/>
      <c r="N87" s="260"/>
      <c r="O87" s="260"/>
      <c r="P87" s="260"/>
      <c r="S87" s="261"/>
      <c r="T87" s="261"/>
      <c r="U87" s="261"/>
      <c r="V87" s="261"/>
      <c r="W87" s="261"/>
      <c r="X87" s="261"/>
      <c r="Y87" s="261"/>
      <c r="Z87" s="261"/>
      <c r="AA87" s="261"/>
      <c r="AB87" s="261"/>
    </row>
    <row r="88" spans="1:28" ht="22.5">
      <c r="A88" s="1060"/>
      <c r="B88" s="1061"/>
      <c r="C88" s="1081">
        <v>421</v>
      </c>
      <c r="D88" s="1061"/>
      <c r="E88" s="306" t="s">
        <v>308</v>
      </c>
      <c r="F88" s="288">
        <f>[5]Druhova!G83</f>
        <v>1712513.32837</v>
      </c>
      <c r="G88" s="288">
        <f>[5]Druhova!B83</f>
        <v>311686.25199999998</v>
      </c>
      <c r="H88" s="288">
        <f>[5]Druhova!C83</f>
        <v>3223028.6336599998</v>
      </c>
      <c r="I88" s="288">
        <f>[5]Druhova!D83</f>
        <v>896661.18437000003</v>
      </c>
      <c r="J88" s="288">
        <f t="shared" si="2"/>
        <v>27.820453563633762</v>
      </c>
      <c r="K88" s="289">
        <f t="shared" si="3"/>
        <v>52.359369677049919</v>
      </c>
      <c r="L88" s="260"/>
      <c r="M88" s="260"/>
      <c r="N88" s="260"/>
      <c r="O88" s="260"/>
      <c r="P88" s="260"/>
      <c r="S88" s="261"/>
      <c r="T88" s="261"/>
      <c r="U88" s="261"/>
      <c r="V88" s="261"/>
      <c r="W88" s="261"/>
      <c r="X88" s="261"/>
      <c r="Y88" s="261"/>
      <c r="Z88" s="261"/>
      <c r="AA88" s="261"/>
      <c r="AB88" s="261"/>
    </row>
    <row r="89" spans="1:28">
      <c r="A89" s="1060"/>
      <c r="B89" s="1061"/>
      <c r="C89" s="1081"/>
      <c r="D89" s="1061">
        <v>4218</v>
      </c>
      <c r="E89" s="306" t="s">
        <v>309</v>
      </c>
      <c r="F89" s="288">
        <f>[5]Druhova!G84</f>
        <v>1712513.32837</v>
      </c>
      <c r="G89" s="288">
        <f>[5]Druhova!B84</f>
        <v>311686.25199999998</v>
      </c>
      <c r="H89" s="288">
        <f>[5]Druhova!C84</f>
        <v>3223028.6336599998</v>
      </c>
      <c r="I89" s="288">
        <f>[5]Druhova!D84</f>
        <v>896661.18437000003</v>
      </c>
      <c r="J89" s="288">
        <f t="shared" si="2"/>
        <v>27.820453563633762</v>
      </c>
      <c r="K89" s="289">
        <f t="shared" si="3"/>
        <v>52.359369677049919</v>
      </c>
      <c r="L89" s="260"/>
      <c r="M89" s="260"/>
      <c r="N89" s="260"/>
      <c r="O89" s="260"/>
      <c r="P89" s="260"/>
      <c r="S89" s="261"/>
      <c r="T89" s="261"/>
      <c r="U89" s="261"/>
      <c r="V89" s="261"/>
      <c r="W89" s="261"/>
      <c r="X89" s="261"/>
      <c r="Y89" s="261"/>
      <c r="Z89" s="261"/>
      <c r="AA89" s="261"/>
      <c r="AB89" s="261"/>
    </row>
    <row r="90" spans="1:28" ht="22.5">
      <c r="A90" s="1060"/>
      <c r="B90" s="1061"/>
      <c r="C90" s="1081">
        <v>422</v>
      </c>
      <c r="D90" s="1061"/>
      <c r="E90" s="306" t="s">
        <v>310</v>
      </c>
      <c r="F90" s="288">
        <f>[5]Druhova!G85</f>
        <v>99173.06624</v>
      </c>
      <c r="G90" s="288">
        <f>[5]Druhova!B85</f>
        <v>0</v>
      </c>
      <c r="H90" s="288">
        <f>[5]Druhova!C85</f>
        <v>0</v>
      </c>
      <c r="I90" s="288">
        <f>[5]Druhova!D85</f>
        <v>75363.00705</v>
      </c>
      <c r="J90" s="288" t="str">
        <f t="shared" si="2"/>
        <v/>
      </c>
      <c r="K90" s="289">
        <f t="shared" si="3"/>
        <v>75.99140563791849</v>
      </c>
      <c r="L90" s="260"/>
      <c r="M90" s="260"/>
      <c r="N90" s="260"/>
      <c r="O90" s="260"/>
      <c r="P90" s="260"/>
      <c r="S90" s="261"/>
      <c r="T90" s="261"/>
      <c r="U90" s="261"/>
      <c r="V90" s="261"/>
      <c r="W90" s="261"/>
      <c r="X90" s="261"/>
      <c r="Y90" s="261"/>
      <c r="Z90" s="261"/>
      <c r="AA90" s="261"/>
      <c r="AB90" s="261"/>
    </row>
    <row r="91" spans="1:28" ht="15.95" customHeight="1">
      <c r="A91" s="1060"/>
      <c r="B91" s="1061"/>
      <c r="C91" s="1081">
        <v>423</v>
      </c>
      <c r="D91" s="1061"/>
      <c r="E91" s="306" t="s">
        <v>311</v>
      </c>
      <c r="F91" s="288">
        <f>[5]Druhova!G86</f>
        <v>3478.26325</v>
      </c>
      <c r="G91" s="288">
        <f>[5]Druhova!B86</f>
        <v>200000</v>
      </c>
      <c r="H91" s="288">
        <f>[5]Druhova!C86</f>
        <v>200000</v>
      </c>
      <c r="I91" s="288">
        <f>[5]Druhova!D86</f>
        <v>7301.7207799999996</v>
      </c>
      <c r="J91" s="288">
        <f t="shared" si="2"/>
        <v>3.6508603900000001</v>
      </c>
      <c r="K91" s="289">
        <f t="shared" si="3"/>
        <v>209.92432875803752</v>
      </c>
      <c r="L91" s="260"/>
      <c r="M91" s="260"/>
      <c r="N91" s="260"/>
      <c r="O91" s="260"/>
      <c r="P91" s="260"/>
      <c r="S91" s="261"/>
      <c r="T91" s="261"/>
      <c r="U91" s="261"/>
      <c r="V91" s="261"/>
      <c r="W91" s="261"/>
      <c r="X91" s="261"/>
      <c r="Y91" s="261"/>
      <c r="Z91" s="261"/>
      <c r="AA91" s="261"/>
      <c r="AB91" s="261"/>
    </row>
    <row r="92" spans="1:28" ht="15.95" customHeight="1">
      <c r="A92" s="1060"/>
      <c r="B92" s="1061"/>
      <c r="C92" s="1081"/>
      <c r="D92" s="1061">
        <v>4233</v>
      </c>
      <c r="E92" s="306" t="s">
        <v>312</v>
      </c>
      <c r="F92" s="288">
        <f>[5]Druhova!G87</f>
        <v>3478.26325</v>
      </c>
      <c r="G92" s="288">
        <f>[5]Druhova!B87</f>
        <v>200000</v>
      </c>
      <c r="H92" s="288">
        <f>[5]Druhova!C87</f>
        <v>200000</v>
      </c>
      <c r="I92" s="288">
        <f>[5]Druhova!D87</f>
        <v>7301.7207799999996</v>
      </c>
      <c r="J92" s="288">
        <f t="shared" si="2"/>
        <v>3.6508603900000001</v>
      </c>
      <c r="K92" s="289">
        <f t="shared" si="3"/>
        <v>209.92432875803752</v>
      </c>
      <c r="L92" s="260"/>
      <c r="M92" s="260"/>
      <c r="N92" s="260"/>
      <c r="O92" s="260"/>
      <c r="P92" s="260"/>
      <c r="S92" s="261"/>
      <c r="T92" s="261"/>
      <c r="U92" s="261"/>
      <c r="V92" s="261"/>
      <c r="W92" s="261"/>
      <c r="X92" s="261"/>
      <c r="Y92" s="261"/>
      <c r="Z92" s="261"/>
      <c r="AA92" s="261"/>
      <c r="AB92" s="261"/>
    </row>
    <row r="93" spans="1:28" s="286" customFormat="1" ht="13.5" customHeight="1">
      <c r="A93" s="1060"/>
      <c r="B93" s="1061"/>
      <c r="C93" s="1081">
        <v>424</v>
      </c>
      <c r="D93" s="1061"/>
      <c r="E93" s="306" t="s">
        <v>313</v>
      </c>
      <c r="F93" s="288">
        <f>[5]Druhova!G88</f>
        <v>0</v>
      </c>
      <c r="G93" s="288">
        <f>[5]Druhova!B88</f>
        <v>0</v>
      </c>
      <c r="H93" s="288">
        <f>[5]Druhova!C88</f>
        <v>0</v>
      </c>
      <c r="I93" s="288">
        <f>[5]Druhova!D88</f>
        <v>0</v>
      </c>
      <c r="J93" s="288" t="str">
        <f t="shared" si="2"/>
        <v/>
      </c>
      <c r="K93" s="289" t="str">
        <f t="shared" si="3"/>
        <v/>
      </c>
      <c r="L93" s="285"/>
      <c r="M93" s="285"/>
      <c r="N93" s="285"/>
      <c r="O93" s="285"/>
      <c r="P93" s="285"/>
      <c r="Q93" s="285"/>
      <c r="R93" s="285"/>
    </row>
    <row r="94" spans="1:28" s="286" customFormat="1" ht="17.45" customHeight="1" thickBot="1">
      <c r="A94" s="1065"/>
      <c r="B94" s="1070">
        <v>42</v>
      </c>
      <c r="C94" s="1082"/>
      <c r="D94" s="1070"/>
      <c r="E94" s="307" t="s">
        <v>314</v>
      </c>
      <c r="F94" s="315">
        <f>[5]Druhova!G89</f>
        <v>1815164.6578599999</v>
      </c>
      <c r="G94" s="315">
        <f>[5]Druhova!B89</f>
        <v>511686.25199999998</v>
      </c>
      <c r="H94" s="315">
        <f>[5]Druhova!C89</f>
        <v>3423028.6336599998</v>
      </c>
      <c r="I94" s="315">
        <f>[5]Druhova!D89</f>
        <v>979325.91220000002</v>
      </c>
      <c r="J94" s="296">
        <f t="shared" si="2"/>
        <v>28.609924631360062</v>
      </c>
      <c r="K94" s="297">
        <f t="shared" si="3"/>
        <v>53.952455936123314</v>
      </c>
      <c r="L94" s="285"/>
      <c r="M94" s="285"/>
      <c r="N94" s="285"/>
      <c r="O94" s="285"/>
      <c r="P94" s="285"/>
      <c r="Q94" s="285"/>
      <c r="R94" s="285"/>
    </row>
    <row r="95" spans="1:28" s="286" customFormat="1" ht="24.95" customHeight="1" thickBot="1">
      <c r="A95" s="1075">
        <v>4</v>
      </c>
      <c r="B95" s="1076"/>
      <c r="C95" s="1093"/>
      <c r="D95" s="1076"/>
      <c r="E95" s="1132" t="s">
        <v>315</v>
      </c>
      <c r="F95" s="304">
        <f>[5]Druhova!G90</f>
        <v>2701084.5806700001</v>
      </c>
      <c r="G95" s="301">
        <f>[5]Druhova!B90</f>
        <v>783966.45700000005</v>
      </c>
      <c r="H95" s="301">
        <f>[5]Druhova!C90</f>
        <v>4385965.9270000001</v>
      </c>
      <c r="I95" s="301">
        <f>[5]Druhova!D90</f>
        <v>1709949.6698</v>
      </c>
      <c r="J95" s="301">
        <f t="shared" si="2"/>
        <v>38.986843451599846</v>
      </c>
      <c r="K95" s="302">
        <f t="shared" si="3"/>
        <v>63.306039434568518</v>
      </c>
      <c r="L95" s="285"/>
      <c r="M95" s="285"/>
      <c r="N95" s="285"/>
      <c r="O95" s="285"/>
      <c r="P95" s="285"/>
      <c r="Q95" s="285"/>
      <c r="R95" s="285"/>
    </row>
    <row r="96" spans="1:28" s="286" customFormat="1" ht="30" customHeight="1" thickBot="1">
      <c r="A96" s="1094" t="s">
        <v>769</v>
      </c>
      <c r="B96" s="1076"/>
      <c r="C96" s="1093"/>
      <c r="D96" s="1076"/>
      <c r="E96" s="1133" t="s">
        <v>781</v>
      </c>
      <c r="F96" s="304">
        <f>[5]Druhova!G91</f>
        <v>9276232.5473500006</v>
      </c>
      <c r="G96" s="301">
        <f>[5]Druhova!B91</f>
        <v>7904049.2910000002</v>
      </c>
      <c r="H96" s="301">
        <f>[5]Druhova!C91</f>
        <v>11506048.761</v>
      </c>
      <c r="I96" s="301">
        <f>[5]Druhova!D91</f>
        <v>8796786.8923000004</v>
      </c>
      <c r="J96" s="301">
        <f t="shared" si="2"/>
        <v>76.45358606611245</v>
      </c>
      <c r="K96" s="302">
        <f t="shared" si="3"/>
        <v>94.831461451589348</v>
      </c>
      <c r="L96" s="285"/>
      <c r="M96" s="285"/>
      <c r="N96" s="285"/>
      <c r="O96" s="285"/>
      <c r="P96" s="285"/>
      <c r="Q96" s="285"/>
      <c r="R96" s="285"/>
    </row>
    <row r="97" spans="1:18" s="286" customFormat="1" ht="2.4500000000000002" customHeight="1" thickBot="1">
      <c r="A97" s="1095"/>
      <c r="B97" s="1096"/>
      <c r="C97" s="1096"/>
      <c r="D97" s="1097"/>
      <c r="E97" s="317"/>
      <c r="F97" s="294">
        <f>[5]Druhova!G92</f>
        <v>0</v>
      </c>
      <c r="G97" s="294">
        <f>[5]Druhova!B92</f>
        <v>0</v>
      </c>
      <c r="H97" s="294">
        <f>[5]Druhova!C92</f>
        <v>0</v>
      </c>
      <c r="I97" s="294">
        <f>[5]Druhova!D92</f>
        <v>0</v>
      </c>
      <c r="J97" s="318" t="str">
        <f t="shared" si="2"/>
        <v/>
      </c>
      <c r="K97" s="319" t="str">
        <f t="shared" si="3"/>
        <v/>
      </c>
      <c r="L97" s="285"/>
      <c r="M97" s="285"/>
      <c r="N97" s="285"/>
      <c r="O97" s="285"/>
      <c r="P97" s="285"/>
      <c r="Q97" s="285"/>
      <c r="R97" s="285"/>
    </row>
    <row r="98" spans="1:18" s="286" customFormat="1" ht="29.25" customHeight="1" thickBot="1">
      <c r="A98" s="1312" t="s">
        <v>770</v>
      </c>
      <c r="B98" s="1313"/>
      <c r="C98" s="1313"/>
      <c r="D98" s="1314"/>
      <c r="E98" s="320" t="s">
        <v>316</v>
      </c>
      <c r="F98" s="321">
        <f>[5]Druhova!G93</f>
        <v>9276232.5473500006</v>
      </c>
      <c r="G98" s="318">
        <f>[5]Druhova!B93</f>
        <v>7904049.2910000002</v>
      </c>
      <c r="H98" s="318">
        <f>[5]Druhova!C93</f>
        <v>11506048.761</v>
      </c>
      <c r="I98" s="318">
        <f>[5]Druhova!D93</f>
        <v>8796786.8923000004</v>
      </c>
      <c r="J98" s="318">
        <f t="shared" si="2"/>
        <v>76.45358606611245</v>
      </c>
      <c r="K98" s="319">
        <f t="shared" si="3"/>
        <v>94.831461451589348</v>
      </c>
      <c r="L98" s="285"/>
      <c r="M98" s="285"/>
      <c r="N98" s="285"/>
      <c r="O98" s="285"/>
      <c r="P98" s="285"/>
      <c r="Q98" s="285"/>
      <c r="R98" s="285"/>
    </row>
    <row r="99" spans="1:18" s="286" customFormat="1" ht="16.7" customHeight="1">
      <c r="A99" s="1098"/>
      <c r="B99" s="1083"/>
      <c r="C99" s="1084"/>
      <c r="D99" s="1083"/>
      <c r="E99" s="322" t="s">
        <v>317</v>
      </c>
      <c r="F99" s="288">
        <f>[5]Druhova!G94</f>
        <v>0</v>
      </c>
      <c r="G99" s="288">
        <f>[5]Druhova!B94</f>
        <v>0</v>
      </c>
      <c r="H99" s="288">
        <f>[5]Druhova!C94</f>
        <v>0</v>
      </c>
      <c r="I99" s="288">
        <f>[5]Druhova!D94</f>
        <v>0</v>
      </c>
      <c r="J99" s="288" t="str">
        <f t="shared" si="2"/>
        <v/>
      </c>
      <c r="K99" s="289" t="str">
        <f t="shared" si="3"/>
        <v/>
      </c>
      <c r="L99" s="285"/>
      <c r="M99" s="285"/>
      <c r="N99" s="285"/>
      <c r="O99" s="285"/>
      <c r="P99" s="285"/>
      <c r="Q99" s="285"/>
      <c r="R99" s="285"/>
    </row>
    <row r="100" spans="1:18" s="286" customFormat="1" ht="16.7" customHeight="1">
      <c r="A100" s="1065"/>
      <c r="B100" s="1070"/>
      <c r="C100" s="1081">
        <v>501</v>
      </c>
      <c r="D100" s="1061"/>
      <c r="E100" s="306" t="s">
        <v>318</v>
      </c>
      <c r="F100" s="288">
        <f>[5]Druhova!G95</f>
        <v>23320646.280850001</v>
      </c>
      <c r="G100" s="288">
        <f>[5]Druhova!B95</f>
        <v>24157606.127999999</v>
      </c>
      <c r="H100" s="288">
        <f>[5]Druhova!C95</f>
        <v>24672824.500999998</v>
      </c>
      <c r="I100" s="288">
        <f>[5]Druhova!D95</f>
        <v>24850580.439010002</v>
      </c>
      <c r="J100" s="288">
        <f t="shared" si="2"/>
        <v>100.72045232601074</v>
      </c>
      <c r="K100" s="289">
        <f t="shared" si="3"/>
        <v>106.56042778461214</v>
      </c>
      <c r="L100" s="285"/>
      <c r="M100" s="285"/>
      <c r="N100" s="285"/>
      <c r="O100" s="285"/>
      <c r="P100" s="285"/>
      <c r="Q100" s="285"/>
      <c r="R100" s="285"/>
    </row>
    <row r="101" spans="1:18" s="286" customFormat="1" ht="22.5" customHeight="1">
      <c r="A101" s="1065"/>
      <c r="B101" s="1070"/>
      <c r="C101" s="1081"/>
      <c r="D101" s="1061">
        <v>5011</v>
      </c>
      <c r="E101" s="306" t="s">
        <v>319</v>
      </c>
      <c r="F101" s="288">
        <f>[5]Druhova!G96</f>
        <v>4254551.3313100003</v>
      </c>
      <c r="G101" s="288">
        <f>[5]Druhova!B96</f>
        <v>3848678.13</v>
      </c>
      <c r="H101" s="288">
        <f>[5]Druhova!C96</f>
        <v>4116033.0389999999</v>
      </c>
      <c r="I101" s="288">
        <f>[5]Druhova!D96</f>
        <v>4325556.3772600004</v>
      </c>
      <c r="J101" s="288">
        <f t="shared" si="2"/>
        <v>105.09041925258464</v>
      </c>
      <c r="K101" s="289">
        <f t="shared" si="3"/>
        <v>101.66891971492885</v>
      </c>
      <c r="L101" s="285"/>
      <c r="M101" s="285"/>
      <c r="N101" s="285"/>
      <c r="O101" s="285"/>
      <c r="P101" s="285"/>
      <c r="Q101" s="285"/>
      <c r="R101" s="285"/>
    </row>
    <row r="102" spans="1:18" s="286" customFormat="1" ht="22.5" customHeight="1">
      <c r="A102" s="1065"/>
      <c r="B102" s="1070"/>
      <c r="C102" s="1081"/>
      <c r="D102" s="1061">
        <v>5012</v>
      </c>
      <c r="E102" s="306" t="s">
        <v>320</v>
      </c>
      <c r="F102" s="288">
        <f>[5]Druhova!G97</f>
        <v>19066094.94954</v>
      </c>
      <c r="G102" s="288">
        <f>[5]Druhova!B97</f>
        <v>19842087.370000001</v>
      </c>
      <c r="H102" s="288">
        <f>[5]Druhova!C97</f>
        <v>20178431.583000001</v>
      </c>
      <c r="I102" s="288">
        <f>[5]Druhova!D97</f>
        <v>20205867.055429999</v>
      </c>
      <c r="J102" s="288">
        <f t="shared" si="2"/>
        <v>100.13596434548022</v>
      </c>
      <c r="K102" s="289">
        <f t="shared" si="3"/>
        <v>105.97800498165198</v>
      </c>
      <c r="L102" s="285"/>
      <c r="M102" s="285"/>
      <c r="N102" s="285"/>
      <c r="O102" s="285"/>
      <c r="P102" s="285"/>
      <c r="Q102" s="285"/>
      <c r="R102" s="285"/>
    </row>
    <row r="103" spans="1:18" s="286" customFormat="1" ht="22.5" customHeight="1">
      <c r="A103" s="1065"/>
      <c r="B103" s="1070"/>
      <c r="C103" s="1081"/>
      <c r="D103" s="1061">
        <v>5013</v>
      </c>
      <c r="E103" s="306" t="s">
        <v>321</v>
      </c>
      <c r="F103" s="288">
        <f>[5]Druhova!G98</f>
        <v>0</v>
      </c>
      <c r="G103" s="288">
        <f>[5]Druhova!B98</f>
        <v>466840.62800000003</v>
      </c>
      <c r="H103" s="288">
        <f>[5]Druhova!C98</f>
        <v>377518.67700000003</v>
      </c>
      <c r="I103" s="288">
        <f>[5]Druhova!D98</f>
        <v>318489.86232000001</v>
      </c>
      <c r="J103" s="288">
        <f t="shared" si="2"/>
        <v>84.364001498129852</v>
      </c>
      <c r="K103" s="289" t="str">
        <f t="shared" si="3"/>
        <v/>
      </c>
      <c r="L103" s="285"/>
      <c r="M103" s="285"/>
      <c r="N103" s="285"/>
      <c r="O103" s="285"/>
      <c r="P103" s="285"/>
      <c r="Q103" s="285"/>
      <c r="R103" s="285"/>
    </row>
    <row r="104" spans="1:18" s="286" customFormat="1" ht="34.700000000000003" customHeight="1">
      <c r="A104" s="1065"/>
      <c r="B104" s="1070"/>
      <c r="C104" s="1081"/>
      <c r="D104" s="1061">
        <v>5014</v>
      </c>
      <c r="E104" s="306" t="s">
        <v>322</v>
      </c>
      <c r="F104" s="288">
        <f>[5]Druhova!G99</f>
        <v>0</v>
      </c>
      <c r="G104" s="288">
        <f>[5]Druhova!B99</f>
        <v>0</v>
      </c>
      <c r="H104" s="288">
        <f>[5]Druhova!C99</f>
        <v>0</v>
      </c>
      <c r="I104" s="288">
        <f>[5]Druhova!D99</f>
        <v>0</v>
      </c>
      <c r="J104" s="288" t="str">
        <f t="shared" si="2"/>
        <v/>
      </c>
      <c r="K104" s="289" t="str">
        <f t="shared" si="3"/>
        <v/>
      </c>
      <c r="L104" s="285"/>
      <c r="M104" s="285"/>
      <c r="N104" s="285"/>
      <c r="O104" s="285"/>
      <c r="P104" s="285"/>
      <c r="Q104" s="285"/>
      <c r="R104" s="285"/>
    </row>
    <row r="105" spans="1:18" s="286" customFormat="1" ht="16.7" customHeight="1">
      <c r="A105" s="1065"/>
      <c r="B105" s="1070"/>
      <c r="C105" s="1081"/>
      <c r="D105" s="1061">
        <v>5019</v>
      </c>
      <c r="E105" s="306" t="s">
        <v>323</v>
      </c>
      <c r="F105" s="288">
        <f>[5]Druhova!G100</f>
        <v>0</v>
      </c>
      <c r="G105" s="288">
        <f>[5]Druhova!B100</f>
        <v>0</v>
      </c>
      <c r="H105" s="288">
        <f>[5]Druhova!C100</f>
        <v>841.202</v>
      </c>
      <c r="I105" s="288">
        <f>[5]Druhova!D100</f>
        <v>667.14400000000001</v>
      </c>
      <c r="J105" s="288">
        <f t="shared" si="2"/>
        <v>79.308418192063272</v>
      </c>
      <c r="K105" s="289" t="str">
        <f t="shared" si="3"/>
        <v/>
      </c>
      <c r="L105" s="285"/>
      <c r="M105" s="285"/>
      <c r="N105" s="285"/>
      <c r="O105" s="285"/>
      <c r="P105" s="285"/>
      <c r="Q105" s="285"/>
      <c r="R105" s="285"/>
    </row>
    <row r="106" spans="1:18" s="286" customFormat="1" ht="16.7" customHeight="1">
      <c r="A106" s="1065"/>
      <c r="B106" s="1070"/>
      <c r="C106" s="1081">
        <v>502</v>
      </c>
      <c r="D106" s="1061"/>
      <c r="E106" s="306" t="s">
        <v>324</v>
      </c>
      <c r="F106" s="288">
        <f>[5]Druhova!G101</f>
        <v>288887.14908</v>
      </c>
      <c r="G106" s="288">
        <f>[5]Druhova!B101</f>
        <v>282229.41600000003</v>
      </c>
      <c r="H106" s="288">
        <f>[5]Druhova!C101</f>
        <v>304438.51500000001</v>
      </c>
      <c r="I106" s="288">
        <f>[5]Druhova!D101</f>
        <v>311871.22143999999</v>
      </c>
      <c r="J106" s="288">
        <f t="shared" si="2"/>
        <v>102.44144747585567</v>
      </c>
      <c r="K106" s="289">
        <f t="shared" si="3"/>
        <v>107.95607296246853</v>
      </c>
      <c r="L106" s="285"/>
      <c r="M106" s="285"/>
      <c r="N106" s="285"/>
      <c r="O106" s="285"/>
      <c r="P106" s="285"/>
      <c r="Q106" s="285"/>
      <c r="R106" s="285"/>
    </row>
    <row r="107" spans="1:18" s="286" customFormat="1" ht="16.7" customHeight="1">
      <c r="A107" s="1065"/>
      <c r="B107" s="1070"/>
      <c r="C107" s="1081"/>
      <c r="D107" s="1061">
        <v>5021</v>
      </c>
      <c r="E107" s="306" t="s">
        <v>325</v>
      </c>
      <c r="F107" s="288">
        <f>[5]Druhova!G102</f>
        <v>119870.226</v>
      </c>
      <c r="G107" s="288">
        <f>[5]Druhova!B102</f>
        <v>115209.724</v>
      </c>
      <c r="H107" s="288">
        <f>[5]Druhova!C102</f>
        <v>125769.47199999999</v>
      </c>
      <c r="I107" s="288">
        <f>[5]Druhova!D102</f>
        <v>135005.378</v>
      </c>
      <c r="J107" s="288">
        <f t="shared" si="2"/>
        <v>107.34351973744471</v>
      </c>
      <c r="K107" s="289">
        <f t="shared" si="3"/>
        <v>112.62628135864196</v>
      </c>
      <c r="L107" s="285"/>
      <c r="M107" s="285"/>
      <c r="N107" s="285"/>
      <c r="O107" s="285"/>
      <c r="P107" s="285"/>
      <c r="Q107" s="285"/>
      <c r="R107" s="285"/>
    </row>
    <row r="108" spans="1:18" s="286" customFormat="1" ht="22.5" customHeight="1">
      <c r="A108" s="1065"/>
      <c r="B108" s="1070"/>
      <c r="C108" s="1081"/>
      <c r="D108" s="1061">
        <v>5022</v>
      </c>
      <c r="E108" s="306" t="s">
        <v>326</v>
      </c>
      <c r="F108" s="288">
        <f>[5]Druhova!G103</f>
        <v>1182.9169999999999</v>
      </c>
      <c r="G108" s="288">
        <f>[5]Druhova!B103</f>
        <v>1292.8</v>
      </c>
      <c r="H108" s="288">
        <f>[5]Druhova!C103</f>
        <v>1292.8</v>
      </c>
      <c r="I108" s="288">
        <f>[5]Druhova!D103</f>
        <v>1405.2</v>
      </c>
      <c r="J108" s="288">
        <f t="shared" si="2"/>
        <v>108.69430693069309</v>
      </c>
      <c r="K108" s="289">
        <f t="shared" si="3"/>
        <v>118.79109016101724</v>
      </c>
      <c r="L108" s="285"/>
      <c r="M108" s="285"/>
      <c r="N108" s="285"/>
      <c r="O108" s="285"/>
      <c r="P108" s="285"/>
      <c r="Q108" s="285"/>
      <c r="R108" s="285"/>
    </row>
    <row r="109" spans="1:18" s="286" customFormat="1">
      <c r="A109" s="1065"/>
      <c r="B109" s="1070"/>
      <c r="C109" s="1081"/>
      <c r="D109" s="1061">
        <v>5023</v>
      </c>
      <c r="E109" s="306" t="s">
        <v>327</v>
      </c>
      <c r="F109" s="288">
        <f>[5]Druhova!G104</f>
        <v>0</v>
      </c>
      <c r="G109" s="288">
        <f>[5]Druhova!B104</f>
        <v>0</v>
      </c>
      <c r="H109" s="288">
        <f>[5]Druhova!C104</f>
        <v>0</v>
      </c>
      <c r="I109" s="288">
        <f>[5]Druhova!D104</f>
        <v>0</v>
      </c>
      <c r="J109" s="288" t="str">
        <f t="shared" si="2"/>
        <v/>
      </c>
      <c r="K109" s="289" t="str">
        <f t="shared" si="3"/>
        <v/>
      </c>
      <c r="L109" s="285"/>
      <c r="M109" s="285"/>
      <c r="N109" s="285"/>
      <c r="O109" s="285"/>
      <c r="P109" s="285"/>
      <c r="Q109" s="285"/>
      <c r="R109" s="285"/>
    </row>
    <row r="110" spans="1:18" s="286" customFormat="1">
      <c r="A110" s="1065"/>
      <c r="B110" s="1070"/>
      <c r="C110" s="1081"/>
      <c r="D110" s="1061">
        <v>5024</v>
      </c>
      <c r="E110" s="306" t="s">
        <v>328</v>
      </c>
      <c r="F110" s="288">
        <f>[5]Druhova!G105</f>
        <v>11461.175999999999</v>
      </c>
      <c r="G110" s="288">
        <f>[5]Druhova!B105</f>
        <v>46462.127</v>
      </c>
      <c r="H110" s="288">
        <f>[5]Druhova!C105</f>
        <v>15473.6</v>
      </c>
      <c r="I110" s="288">
        <f>[5]Druhova!D105</f>
        <v>13906.870999999999</v>
      </c>
      <c r="J110" s="288">
        <f t="shared" si="2"/>
        <v>89.874825509254464</v>
      </c>
      <c r="K110" s="289">
        <f t="shared" si="3"/>
        <v>121.3389533499878</v>
      </c>
      <c r="L110" s="285"/>
      <c r="M110" s="285"/>
      <c r="N110" s="285"/>
      <c r="O110" s="285"/>
      <c r="P110" s="285"/>
      <c r="Q110" s="285"/>
      <c r="R110" s="285"/>
    </row>
    <row r="111" spans="1:18" s="286" customFormat="1">
      <c r="A111" s="1065"/>
      <c r="B111" s="1070"/>
      <c r="C111" s="1081"/>
      <c r="D111" s="1061">
        <v>5025</v>
      </c>
      <c r="E111" s="306" t="s">
        <v>329</v>
      </c>
      <c r="F111" s="288">
        <f>[5]Druhova!G106</f>
        <v>0</v>
      </c>
      <c r="G111" s="288">
        <f>[5]Druhova!B106</f>
        <v>0</v>
      </c>
      <c r="H111" s="288">
        <f>[5]Druhova!C106</f>
        <v>0</v>
      </c>
      <c r="I111" s="288">
        <f>[5]Druhova!D106</f>
        <v>0</v>
      </c>
      <c r="J111" s="288" t="str">
        <f t="shared" si="2"/>
        <v/>
      </c>
      <c r="K111" s="289" t="str">
        <f t="shared" si="3"/>
        <v/>
      </c>
      <c r="L111" s="285"/>
      <c r="M111" s="285"/>
      <c r="N111" s="285"/>
      <c r="O111" s="285"/>
      <c r="P111" s="285"/>
      <c r="Q111" s="285"/>
      <c r="R111" s="285"/>
    </row>
    <row r="112" spans="1:18" s="286" customFormat="1">
      <c r="A112" s="1065"/>
      <c r="B112" s="1070"/>
      <c r="C112" s="1081"/>
      <c r="D112" s="1061">
        <v>5026</v>
      </c>
      <c r="E112" s="306" t="s">
        <v>330</v>
      </c>
      <c r="F112" s="288">
        <f>[5]Druhova!G107</f>
        <v>0</v>
      </c>
      <c r="G112" s="288">
        <f>[5]Druhova!B107</f>
        <v>0</v>
      </c>
      <c r="H112" s="288">
        <f>[5]Druhova!C107</f>
        <v>0</v>
      </c>
      <c r="I112" s="288">
        <f>[5]Druhova!D107</f>
        <v>0</v>
      </c>
      <c r="J112" s="288" t="str">
        <f t="shared" si="2"/>
        <v/>
      </c>
      <c r="K112" s="289" t="str">
        <f t="shared" si="3"/>
        <v/>
      </c>
      <c r="L112" s="285"/>
      <c r="M112" s="285"/>
      <c r="N112" s="285"/>
      <c r="O112" s="285"/>
      <c r="P112" s="285"/>
      <c r="Q112" s="285"/>
      <c r="R112" s="285"/>
    </row>
    <row r="113" spans="1:28" s="286" customFormat="1" ht="34.700000000000003" customHeight="1">
      <c r="A113" s="1065"/>
      <c r="B113" s="1070"/>
      <c r="C113" s="1081"/>
      <c r="D113" s="1061">
        <v>5027</v>
      </c>
      <c r="E113" s="306" t="s">
        <v>331</v>
      </c>
      <c r="F113" s="288">
        <f>[5]Druhova!G108</f>
        <v>0</v>
      </c>
      <c r="G113" s="288">
        <f>[5]Druhova!B108</f>
        <v>0</v>
      </c>
      <c r="H113" s="288">
        <f>[5]Druhova!C108</f>
        <v>0</v>
      </c>
      <c r="I113" s="288">
        <f>[5]Druhova!D108</f>
        <v>0</v>
      </c>
      <c r="J113" s="288" t="str">
        <f t="shared" si="2"/>
        <v/>
      </c>
      <c r="K113" s="289" t="str">
        <f t="shared" si="3"/>
        <v/>
      </c>
      <c r="L113" s="285"/>
      <c r="M113" s="285"/>
      <c r="N113" s="285"/>
      <c r="O113" s="285"/>
      <c r="P113" s="285"/>
      <c r="Q113" s="285"/>
      <c r="R113" s="285"/>
    </row>
    <row r="114" spans="1:28" s="286" customFormat="1" ht="22.5" customHeight="1">
      <c r="A114" s="1065"/>
      <c r="B114" s="1070"/>
      <c r="C114" s="1081"/>
      <c r="D114" s="1061">
        <v>5029</v>
      </c>
      <c r="E114" s="306" t="s">
        <v>332</v>
      </c>
      <c r="F114" s="288">
        <f>[5]Druhova!G109</f>
        <v>156372.83008000001</v>
      </c>
      <c r="G114" s="288">
        <f>[5]Druhova!B109</f>
        <v>119264.765</v>
      </c>
      <c r="H114" s="288">
        <f>[5]Druhova!C109</f>
        <v>161902.64300000001</v>
      </c>
      <c r="I114" s="288">
        <f>[5]Druhova!D109</f>
        <v>161553.77244</v>
      </c>
      <c r="J114" s="288">
        <f t="shared" si="2"/>
        <v>99.784518304620875</v>
      </c>
      <c r="K114" s="289">
        <f t="shared" si="3"/>
        <v>103.31319856355444</v>
      </c>
      <c r="L114" s="285"/>
      <c r="M114" s="285"/>
      <c r="N114" s="285"/>
      <c r="O114" s="285"/>
      <c r="P114" s="285"/>
      <c r="Q114" s="285"/>
      <c r="R114" s="285"/>
    </row>
    <row r="115" spans="1:28">
      <c r="A115" s="1065"/>
      <c r="B115" s="1070"/>
      <c r="C115" s="1081">
        <v>503</v>
      </c>
      <c r="D115" s="1061"/>
      <c r="E115" s="306" t="s">
        <v>333</v>
      </c>
      <c r="F115" s="288">
        <f>[5]Druhova!G110</f>
        <v>7838096.1040899996</v>
      </c>
      <c r="G115" s="288">
        <f>[5]Druhova!B110</f>
        <v>8246760.9419999998</v>
      </c>
      <c r="H115" s="288">
        <f>[5]Druhova!C110</f>
        <v>8406994.2630000003</v>
      </c>
      <c r="I115" s="288">
        <f>[5]Druhova!D110</f>
        <v>8354290.0633199997</v>
      </c>
      <c r="J115" s="288">
        <f t="shared" si="2"/>
        <v>99.373091047391853</v>
      </c>
      <c r="K115" s="289">
        <f t="shared" si="3"/>
        <v>106.58570592111833</v>
      </c>
      <c r="L115" s="260"/>
      <c r="M115" s="260"/>
      <c r="N115" s="260"/>
      <c r="O115" s="260"/>
      <c r="P115" s="260"/>
      <c r="S115" s="261"/>
      <c r="T115" s="261"/>
      <c r="U115" s="261"/>
      <c r="V115" s="261"/>
      <c r="W115" s="261"/>
      <c r="X115" s="261"/>
      <c r="Y115" s="261"/>
      <c r="Z115" s="261"/>
      <c r="AA115" s="261"/>
      <c r="AB115" s="261"/>
    </row>
    <row r="116" spans="1:28" ht="34.700000000000003" customHeight="1">
      <c r="A116" s="1065"/>
      <c r="B116" s="1070"/>
      <c r="C116" s="1081"/>
      <c r="D116" s="1061" t="s">
        <v>771</v>
      </c>
      <c r="E116" s="306" t="s">
        <v>334</v>
      </c>
      <c r="F116" s="288">
        <f>[5]Druhova!G111</f>
        <v>7838096.1040899996</v>
      </c>
      <c r="G116" s="288">
        <f>[5]Druhova!B111</f>
        <v>8246760.9419999998</v>
      </c>
      <c r="H116" s="288">
        <f>[5]Druhova!C111</f>
        <v>8406994.2630000003</v>
      </c>
      <c r="I116" s="288">
        <f>[5]Druhova!D111</f>
        <v>8354290.0633199997</v>
      </c>
      <c r="J116" s="288">
        <f t="shared" si="2"/>
        <v>99.373091047391853</v>
      </c>
      <c r="K116" s="289">
        <f t="shared" si="3"/>
        <v>106.58570592111833</v>
      </c>
      <c r="L116" s="260"/>
      <c r="M116" s="260"/>
      <c r="N116" s="260"/>
      <c r="O116" s="260"/>
      <c r="P116" s="260"/>
      <c r="S116" s="261"/>
      <c r="T116" s="261"/>
      <c r="U116" s="261"/>
      <c r="V116" s="261"/>
      <c r="W116" s="261"/>
      <c r="X116" s="261"/>
      <c r="Y116" s="261"/>
      <c r="Z116" s="261"/>
      <c r="AA116" s="261"/>
      <c r="AB116" s="261"/>
    </row>
    <row r="117" spans="1:28" ht="16.7" customHeight="1">
      <c r="A117" s="1065"/>
      <c r="B117" s="1070"/>
      <c r="C117" s="1081">
        <v>504</v>
      </c>
      <c r="D117" s="1061"/>
      <c r="E117" s="306" t="s">
        <v>335</v>
      </c>
      <c r="F117" s="288">
        <f>[5]Druhova!G112</f>
        <v>90687.105129999996</v>
      </c>
      <c r="G117" s="288">
        <f>[5]Druhova!B112</f>
        <v>3146</v>
      </c>
      <c r="H117" s="288">
        <f>[5]Druhova!C112</f>
        <v>11205.47595</v>
      </c>
      <c r="I117" s="288">
        <f>[5]Druhova!D112</f>
        <v>11544.495489999999</v>
      </c>
      <c r="J117" s="288">
        <f t="shared" si="2"/>
        <v>103.02548094800024</v>
      </c>
      <c r="K117" s="289">
        <f t="shared" si="3"/>
        <v>12.730029780365093</v>
      </c>
      <c r="L117" s="260"/>
      <c r="M117" s="260"/>
      <c r="N117" s="260"/>
      <c r="O117" s="260"/>
      <c r="P117" s="260"/>
      <c r="S117" s="261"/>
      <c r="T117" s="261"/>
      <c r="U117" s="261"/>
      <c r="V117" s="261"/>
      <c r="W117" s="261"/>
      <c r="X117" s="261"/>
      <c r="Y117" s="261"/>
      <c r="Z117" s="261"/>
      <c r="AA117" s="261"/>
      <c r="AB117" s="261"/>
    </row>
    <row r="118" spans="1:28" ht="16.7" customHeight="1">
      <c r="A118" s="1065"/>
      <c r="B118" s="1070"/>
      <c r="C118" s="1081">
        <v>505</v>
      </c>
      <c r="D118" s="1061"/>
      <c r="E118" s="306" t="s">
        <v>336</v>
      </c>
      <c r="F118" s="288">
        <f>[5]Druhova!G113</f>
        <v>9543.2049999999999</v>
      </c>
      <c r="G118" s="288">
        <f>[5]Druhova!B113</f>
        <v>0</v>
      </c>
      <c r="H118" s="288">
        <f>[5]Druhova!C113</f>
        <v>4336.0190000000002</v>
      </c>
      <c r="I118" s="288">
        <f>[5]Druhova!D113</f>
        <v>4336.0190000000002</v>
      </c>
      <c r="J118" s="288">
        <f t="shared" si="2"/>
        <v>100</v>
      </c>
      <c r="K118" s="289">
        <f t="shared" si="3"/>
        <v>45.435668624953571</v>
      </c>
      <c r="L118" s="260"/>
      <c r="M118" s="260"/>
      <c r="N118" s="260"/>
      <c r="O118" s="260"/>
      <c r="P118" s="260"/>
      <c r="S118" s="261"/>
      <c r="T118" s="261"/>
      <c r="U118" s="261"/>
      <c r="V118" s="261"/>
      <c r="W118" s="261"/>
      <c r="X118" s="261"/>
      <c r="Y118" s="261"/>
      <c r="Z118" s="261"/>
      <c r="AA118" s="261"/>
      <c r="AB118" s="261"/>
    </row>
    <row r="119" spans="1:28" ht="23.65" customHeight="1">
      <c r="A119" s="1065"/>
      <c r="B119" s="1070">
        <v>50</v>
      </c>
      <c r="C119" s="1081"/>
      <c r="D119" s="1061"/>
      <c r="E119" s="323" t="s">
        <v>337</v>
      </c>
      <c r="F119" s="291">
        <f>[5]Druhova!G114</f>
        <v>31547859.844149999</v>
      </c>
      <c r="G119" s="291">
        <f>[5]Druhova!B114</f>
        <v>32689742.486000001</v>
      </c>
      <c r="H119" s="291">
        <f>[5]Druhova!C114</f>
        <v>33399798.773949999</v>
      </c>
      <c r="I119" s="291">
        <f>[5]Druhova!D114</f>
        <v>33532622.238260001</v>
      </c>
      <c r="J119" s="291">
        <f t="shared" si="2"/>
        <v>100.39767743874432</v>
      </c>
      <c r="K119" s="292">
        <f t="shared" si="3"/>
        <v>106.29127428584681</v>
      </c>
      <c r="L119" s="260"/>
      <c r="M119" s="260"/>
      <c r="N119" s="260"/>
      <c r="O119" s="260"/>
      <c r="P119" s="260"/>
      <c r="S119" s="261"/>
      <c r="T119" s="261"/>
      <c r="U119" s="261"/>
      <c r="V119" s="261"/>
      <c r="W119" s="261"/>
      <c r="X119" s="261"/>
      <c r="Y119" s="261"/>
      <c r="Z119" s="261"/>
      <c r="AA119" s="261"/>
      <c r="AB119" s="261"/>
    </row>
    <row r="120" spans="1:28" ht="18" customHeight="1">
      <c r="A120" s="1065"/>
      <c r="B120" s="1070"/>
      <c r="C120" s="1061">
        <v>513</v>
      </c>
      <c r="D120" s="1061"/>
      <c r="E120" s="306" t="s">
        <v>338</v>
      </c>
      <c r="F120" s="288">
        <f>[5]Druhova!G115</f>
        <v>1957842.27299</v>
      </c>
      <c r="G120" s="288">
        <f>[5]Druhova!B115</f>
        <v>1354902.8810000001</v>
      </c>
      <c r="H120" s="288">
        <f>[5]Druhova!C115</f>
        <v>2140375.5184999998</v>
      </c>
      <c r="I120" s="288">
        <f>[5]Druhova!D115</f>
        <v>2466993.9961100002</v>
      </c>
      <c r="J120" s="288">
        <f t="shared" si="2"/>
        <v>115.25986794312142</v>
      </c>
      <c r="K120" s="289">
        <f t="shared" si="3"/>
        <v>126.00575797877876</v>
      </c>
      <c r="L120" s="260"/>
      <c r="M120" s="260"/>
      <c r="N120" s="260"/>
      <c r="O120" s="260"/>
      <c r="P120" s="260"/>
      <c r="S120" s="261"/>
      <c r="T120" s="261"/>
      <c r="U120" s="261"/>
      <c r="V120" s="261"/>
      <c r="W120" s="261"/>
      <c r="X120" s="261"/>
      <c r="Y120" s="261"/>
      <c r="Z120" s="261"/>
      <c r="AA120" s="261"/>
      <c r="AB120" s="261"/>
    </row>
    <row r="121" spans="1:28" ht="16.7" customHeight="1">
      <c r="A121" s="1065"/>
      <c r="B121" s="1070"/>
      <c r="C121" s="1061">
        <v>514</v>
      </c>
      <c r="D121" s="1061"/>
      <c r="E121" s="306" t="s">
        <v>339</v>
      </c>
      <c r="F121" s="288">
        <f>[5]Druhova!G116</f>
        <v>1114.45021</v>
      </c>
      <c r="G121" s="288">
        <f>[5]Druhova!B116</f>
        <v>1050.1880000000001</v>
      </c>
      <c r="H121" s="288">
        <f>[5]Druhova!C116</f>
        <v>2466.4180999999999</v>
      </c>
      <c r="I121" s="288">
        <f>[5]Druhova!D116</f>
        <v>2356.5308500000001</v>
      </c>
      <c r="J121" s="288">
        <f t="shared" si="2"/>
        <v>95.544662520924589</v>
      </c>
      <c r="K121" s="289">
        <f t="shared" si="3"/>
        <v>211.45232230697863</v>
      </c>
      <c r="L121" s="260"/>
      <c r="M121" s="260"/>
      <c r="N121" s="260"/>
      <c r="O121" s="260"/>
      <c r="P121" s="260"/>
      <c r="S121" s="261"/>
      <c r="T121" s="261"/>
      <c r="U121" s="261"/>
      <c r="V121" s="261"/>
      <c r="W121" s="261"/>
      <c r="X121" s="261"/>
      <c r="Y121" s="261"/>
      <c r="Z121" s="261"/>
      <c r="AA121" s="261"/>
      <c r="AB121" s="261"/>
    </row>
    <row r="122" spans="1:28" ht="16.7" customHeight="1">
      <c r="A122" s="1065"/>
      <c r="B122" s="1070"/>
      <c r="C122" s="1061">
        <v>515</v>
      </c>
      <c r="D122" s="1061"/>
      <c r="E122" s="306" t="s">
        <v>340</v>
      </c>
      <c r="F122" s="288">
        <f>[5]Druhova!G117</f>
        <v>1740580.05779</v>
      </c>
      <c r="G122" s="288">
        <f>[5]Druhova!B117</f>
        <v>1717083.6340000001</v>
      </c>
      <c r="H122" s="288">
        <f>[5]Druhova!C117</f>
        <v>1344244.19726</v>
      </c>
      <c r="I122" s="288">
        <f>[5]Druhova!D117</f>
        <v>1622914.0822399999</v>
      </c>
      <c r="J122" s="288">
        <f t="shared" si="2"/>
        <v>120.73059980828025</v>
      </c>
      <c r="K122" s="289">
        <f t="shared" si="3"/>
        <v>93.239841222850757</v>
      </c>
      <c r="L122" s="260"/>
      <c r="M122" s="260"/>
      <c r="N122" s="260"/>
      <c r="O122" s="260"/>
      <c r="P122" s="260"/>
      <c r="S122" s="261"/>
      <c r="T122" s="261"/>
      <c r="U122" s="261"/>
      <c r="V122" s="261"/>
      <c r="W122" s="261"/>
      <c r="X122" s="261"/>
      <c r="Y122" s="261"/>
      <c r="Z122" s="261"/>
      <c r="AA122" s="261"/>
      <c r="AB122" s="261"/>
    </row>
    <row r="123" spans="1:28" ht="16.7" customHeight="1">
      <c r="A123" s="1065"/>
      <c r="B123" s="1070"/>
      <c r="C123" s="1061">
        <v>516</v>
      </c>
      <c r="D123" s="1061"/>
      <c r="E123" s="306" t="s">
        <v>341</v>
      </c>
      <c r="F123" s="288">
        <f>[5]Druhova!G118</f>
        <v>5724225.2172499998</v>
      </c>
      <c r="G123" s="288">
        <f>[5]Druhova!B118</f>
        <v>5194196.7929999996</v>
      </c>
      <c r="H123" s="288">
        <f>[5]Druhova!C118</f>
        <v>5531253.6187699996</v>
      </c>
      <c r="I123" s="288">
        <f>[5]Druhova!D118</f>
        <v>5425483.4721799996</v>
      </c>
      <c r="J123" s="288">
        <f t="shared" si="2"/>
        <v>98.087772612142118</v>
      </c>
      <c r="K123" s="289">
        <f t="shared" si="3"/>
        <v>94.781097288594808</v>
      </c>
      <c r="L123" s="260"/>
      <c r="M123" s="260"/>
      <c r="N123" s="260"/>
      <c r="O123" s="260"/>
      <c r="P123" s="260"/>
      <c r="S123" s="261"/>
      <c r="T123" s="261"/>
      <c r="U123" s="261"/>
      <c r="V123" s="261"/>
      <c r="W123" s="261"/>
      <c r="X123" s="261"/>
      <c r="Y123" s="261"/>
      <c r="Z123" s="261"/>
      <c r="AA123" s="261"/>
      <c r="AB123" s="261"/>
    </row>
    <row r="124" spans="1:28" ht="16.7" customHeight="1">
      <c r="A124" s="1065"/>
      <c r="B124" s="1070"/>
      <c r="C124" s="1061">
        <v>517</v>
      </c>
      <c r="D124" s="1061"/>
      <c r="E124" s="306" t="s">
        <v>342</v>
      </c>
      <c r="F124" s="288">
        <f>[5]Druhova!G119</f>
        <v>1174762.2491599999</v>
      </c>
      <c r="G124" s="288">
        <f>[5]Druhova!B119</f>
        <v>1250237.882</v>
      </c>
      <c r="H124" s="288">
        <f>[5]Druhova!C119</f>
        <v>1117562.96954</v>
      </c>
      <c r="I124" s="288">
        <f>[5]Druhova!D119</f>
        <v>1199085.6563800001</v>
      </c>
      <c r="J124" s="288">
        <f t="shared" si="2"/>
        <v>107.29468397414381</v>
      </c>
      <c r="K124" s="289">
        <f t="shared" si="3"/>
        <v>102.07049615676638</v>
      </c>
      <c r="L124" s="260"/>
      <c r="M124" s="260"/>
      <c r="N124" s="260"/>
      <c r="O124" s="260"/>
      <c r="P124" s="260"/>
      <c r="S124" s="261"/>
      <c r="T124" s="261"/>
      <c r="U124" s="261"/>
      <c r="V124" s="261"/>
      <c r="W124" s="261"/>
      <c r="X124" s="261"/>
      <c r="Y124" s="261"/>
      <c r="Z124" s="261"/>
      <c r="AA124" s="261"/>
      <c r="AB124" s="261"/>
    </row>
    <row r="125" spans="1:28" ht="16.7" customHeight="1">
      <c r="A125" s="1065"/>
      <c r="B125" s="1070"/>
      <c r="C125" s="1061"/>
      <c r="D125" s="1061">
        <v>5171</v>
      </c>
      <c r="E125" s="306" t="s">
        <v>343</v>
      </c>
      <c r="F125" s="288">
        <f>[5]Druhova!G120</f>
        <v>683257.42379000003</v>
      </c>
      <c r="G125" s="288">
        <f>[5]Druhova!B120</f>
        <v>787525.424</v>
      </c>
      <c r="H125" s="288">
        <f>[5]Druhova!C120</f>
        <v>468530.97412999999</v>
      </c>
      <c r="I125" s="288">
        <f>[5]Druhova!D120</f>
        <v>546764.54902000003</v>
      </c>
      <c r="J125" s="288">
        <f t="shared" si="2"/>
        <v>116.69763136477145</v>
      </c>
      <c r="K125" s="289">
        <f t="shared" si="3"/>
        <v>80.023213796510291</v>
      </c>
      <c r="L125" s="260"/>
      <c r="M125" s="260"/>
      <c r="N125" s="260"/>
      <c r="O125" s="260"/>
      <c r="P125" s="260"/>
      <c r="S125" s="261"/>
      <c r="T125" s="261"/>
      <c r="U125" s="261"/>
      <c r="V125" s="261"/>
      <c r="W125" s="261"/>
      <c r="X125" s="261"/>
      <c r="Y125" s="261"/>
      <c r="Z125" s="261"/>
      <c r="AA125" s="261"/>
      <c r="AB125" s="261"/>
    </row>
    <row r="126" spans="1:28" s="286" customFormat="1" ht="16.7" customHeight="1">
      <c r="A126" s="1065"/>
      <c r="B126" s="1070"/>
      <c r="C126" s="1061"/>
      <c r="D126" s="1061">
        <v>5173</v>
      </c>
      <c r="E126" s="306" t="s">
        <v>344</v>
      </c>
      <c r="F126" s="288">
        <f>[5]Druhova!G121</f>
        <v>212139.70227000001</v>
      </c>
      <c r="G126" s="288">
        <f>[5]Druhova!B121</f>
        <v>186698.647</v>
      </c>
      <c r="H126" s="288">
        <f>[5]Druhova!C121</f>
        <v>257492.51314</v>
      </c>
      <c r="I126" s="288">
        <f>[5]Druhova!D121</f>
        <v>247716.74502999999</v>
      </c>
      <c r="J126" s="288">
        <f t="shared" si="2"/>
        <v>96.203474815329926</v>
      </c>
      <c r="K126" s="289">
        <f t="shared" si="3"/>
        <v>116.77057258933993</v>
      </c>
      <c r="L126" s="285"/>
      <c r="M126" s="285"/>
      <c r="N126" s="285"/>
      <c r="O126" s="285"/>
      <c r="P126" s="285"/>
      <c r="Q126" s="285"/>
      <c r="R126" s="285"/>
    </row>
    <row r="127" spans="1:28" ht="16.7" customHeight="1">
      <c r="A127" s="1065"/>
      <c r="B127" s="1070"/>
      <c r="C127" s="1061">
        <v>518</v>
      </c>
      <c r="D127" s="1061"/>
      <c r="E127" s="306" t="s">
        <v>345</v>
      </c>
      <c r="F127" s="288">
        <f>[5]Druhova!G122</f>
        <v>9.5581999999999994</v>
      </c>
      <c r="G127" s="288">
        <f>[5]Druhova!B122</f>
        <v>250</v>
      </c>
      <c r="H127" s="288">
        <f>[5]Druhova!C122</f>
        <v>333.99265000000003</v>
      </c>
      <c r="I127" s="288">
        <f>[5]Druhova!D122</f>
        <v>23.992650000000001</v>
      </c>
      <c r="J127" s="288">
        <f t="shared" si="2"/>
        <v>7.1835862256250245</v>
      </c>
      <c r="K127" s="289">
        <f t="shared" si="3"/>
        <v>251.016404762403</v>
      </c>
      <c r="L127" s="260"/>
      <c r="M127" s="260"/>
      <c r="N127" s="260"/>
      <c r="O127" s="260"/>
      <c r="P127" s="260"/>
      <c r="S127" s="261"/>
      <c r="T127" s="261"/>
      <c r="U127" s="261"/>
      <c r="V127" s="261"/>
      <c r="W127" s="261"/>
      <c r="X127" s="261"/>
      <c r="Y127" s="261"/>
      <c r="Z127" s="261"/>
      <c r="AA127" s="261"/>
      <c r="AB127" s="261"/>
    </row>
    <row r="128" spans="1:28" ht="22.5" customHeight="1">
      <c r="A128" s="1065"/>
      <c r="B128" s="1070"/>
      <c r="C128" s="1061">
        <v>519</v>
      </c>
      <c r="D128" s="1061"/>
      <c r="E128" s="306" t="s">
        <v>346</v>
      </c>
      <c r="F128" s="288">
        <f>[5]Druhova!G123</f>
        <v>244562.83343999999</v>
      </c>
      <c r="G128" s="288">
        <f>[5]Druhova!B123</f>
        <v>232092.715</v>
      </c>
      <c r="H128" s="288">
        <f>[5]Druhova!C123</f>
        <v>503737.64656999998</v>
      </c>
      <c r="I128" s="288">
        <f>[5]Druhova!D123</f>
        <v>546035.17775000003</v>
      </c>
      <c r="J128" s="288">
        <f t="shared" si="2"/>
        <v>108.39673815685768</v>
      </c>
      <c r="K128" s="289">
        <f t="shared" si="3"/>
        <v>223.26989349506454</v>
      </c>
      <c r="L128" s="260"/>
      <c r="M128" s="260"/>
      <c r="N128" s="260"/>
      <c r="O128" s="260"/>
      <c r="P128" s="260"/>
      <c r="S128" s="261"/>
      <c r="T128" s="261"/>
      <c r="U128" s="261"/>
      <c r="V128" s="261"/>
      <c r="W128" s="261"/>
      <c r="X128" s="261"/>
      <c r="Y128" s="261"/>
      <c r="Z128" s="261"/>
      <c r="AA128" s="261"/>
      <c r="AB128" s="261"/>
    </row>
    <row r="129" spans="1:28" ht="17.45" customHeight="1">
      <c r="A129" s="1065"/>
      <c r="B129" s="1070">
        <v>51</v>
      </c>
      <c r="C129" s="1082"/>
      <c r="D129" s="1070"/>
      <c r="E129" s="307" t="s">
        <v>347</v>
      </c>
      <c r="F129" s="291">
        <f>[5]Druhova!G124</f>
        <v>10843096.639040001</v>
      </c>
      <c r="G129" s="291">
        <f>[5]Druhova!B124</f>
        <v>9749814.0930000003</v>
      </c>
      <c r="H129" s="291">
        <f>[5]Druhova!C124</f>
        <v>10639974.36139</v>
      </c>
      <c r="I129" s="291">
        <f>[5]Druhova!D124</f>
        <v>11262892.908159999</v>
      </c>
      <c r="J129" s="291">
        <f t="shared" si="2"/>
        <v>105.85451172730667</v>
      </c>
      <c r="K129" s="292">
        <f t="shared" si="3"/>
        <v>103.87155333107098</v>
      </c>
      <c r="L129" s="260"/>
      <c r="M129" s="260"/>
      <c r="N129" s="260"/>
      <c r="O129" s="260"/>
      <c r="P129" s="260"/>
      <c r="S129" s="261"/>
      <c r="T129" s="261"/>
      <c r="U129" s="261"/>
      <c r="V129" s="261"/>
      <c r="W129" s="261"/>
      <c r="X129" s="261"/>
      <c r="Y129" s="261"/>
      <c r="Z129" s="261"/>
      <c r="AA129" s="261"/>
      <c r="AB129" s="261"/>
    </row>
    <row r="130" spans="1:28">
      <c r="A130" s="1065"/>
      <c r="B130" s="1070"/>
      <c r="C130" s="1061">
        <v>521</v>
      </c>
      <c r="D130" s="1061"/>
      <c r="E130" s="306" t="s">
        <v>348</v>
      </c>
      <c r="F130" s="288">
        <f>[5]Druhova!G125</f>
        <v>194060.98209999999</v>
      </c>
      <c r="G130" s="288">
        <f>[5]Druhova!B125</f>
        <v>116808</v>
      </c>
      <c r="H130" s="288">
        <f>[5]Druhova!C125</f>
        <v>96286.173999999999</v>
      </c>
      <c r="I130" s="288">
        <f>[5]Druhova!D125</f>
        <v>117360.992</v>
      </c>
      <c r="J130" s="288">
        <f t="shared" si="2"/>
        <v>121.8876886727268</v>
      </c>
      <c r="K130" s="289">
        <f t="shared" si="3"/>
        <v>60.476346522622279</v>
      </c>
      <c r="L130" s="260"/>
      <c r="M130" s="260"/>
      <c r="N130" s="260"/>
      <c r="O130" s="260"/>
      <c r="P130" s="260"/>
      <c r="S130" s="261"/>
      <c r="T130" s="261"/>
      <c r="U130" s="261"/>
      <c r="V130" s="261"/>
      <c r="W130" s="261"/>
      <c r="X130" s="261"/>
      <c r="Y130" s="261"/>
      <c r="Z130" s="261"/>
      <c r="AA130" s="261"/>
      <c r="AB130" s="261"/>
    </row>
    <row r="131" spans="1:28">
      <c r="A131" s="1065"/>
      <c r="B131" s="1070"/>
      <c r="C131" s="1061">
        <v>522</v>
      </c>
      <c r="D131" s="1061"/>
      <c r="E131" s="306" t="s">
        <v>349</v>
      </c>
      <c r="F131" s="288">
        <f>[5]Druhova!G126</f>
        <v>139538.87536999999</v>
      </c>
      <c r="G131" s="288">
        <f>[5]Druhova!B126</f>
        <v>46033</v>
      </c>
      <c r="H131" s="288">
        <f>[5]Druhova!C126</f>
        <v>75014.353000000003</v>
      </c>
      <c r="I131" s="288">
        <f>[5]Druhova!D126</f>
        <v>135542.47863</v>
      </c>
      <c r="J131" s="288">
        <f t="shared" si="2"/>
        <v>180.68872583624096</v>
      </c>
      <c r="K131" s="289">
        <f t="shared" si="3"/>
        <v>97.135997599663042</v>
      </c>
      <c r="L131" s="260"/>
      <c r="M131" s="260"/>
      <c r="N131" s="260"/>
      <c r="O131" s="260"/>
      <c r="P131" s="260"/>
      <c r="S131" s="261"/>
      <c r="T131" s="261"/>
      <c r="U131" s="261"/>
      <c r="V131" s="261"/>
      <c r="W131" s="261"/>
      <c r="X131" s="261"/>
      <c r="Y131" s="261"/>
      <c r="Z131" s="261"/>
      <c r="AA131" s="261"/>
      <c r="AB131" s="261"/>
    </row>
    <row r="132" spans="1:28" ht="22.5">
      <c r="A132" s="1065"/>
      <c r="B132" s="1070"/>
      <c r="C132" s="1061"/>
      <c r="D132" s="1061">
        <v>5222</v>
      </c>
      <c r="E132" s="306" t="s">
        <v>350</v>
      </c>
      <c r="F132" s="288">
        <f>[5]Druhova!G127</f>
        <v>69991.206810000003</v>
      </c>
      <c r="G132" s="288">
        <f>[5]Druhova!B127</f>
        <v>32867</v>
      </c>
      <c r="H132" s="288">
        <f>[5]Druhova!C127</f>
        <v>44705.978999999999</v>
      </c>
      <c r="I132" s="288">
        <f>[5]Druhova!D127</f>
        <v>53060.177799999998</v>
      </c>
      <c r="J132" s="288">
        <f t="shared" si="2"/>
        <v>118.68698323327176</v>
      </c>
      <c r="K132" s="289">
        <f t="shared" si="3"/>
        <v>75.809776996756995</v>
      </c>
      <c r="L132" s="260"/>
      <c r="M132" s="260"/>
      <c r="N132" s="260"/>
      <c r="O132" s="260"/>
      <c r="P132" s="260"/>
      <c r="S132" s="261"/>
      <c r="T132" s="261"/>
      <c r="U132" s="261"/>
      <c r="V132" s="261"/>
      <c r="W132" s="261"/>
      <c r="X132" s="261"/>
      <c r="Y132" s="261"/>
      <c r="Z132" s="261"/>
      <c r="AA132" s="261"/>
      <c r="AB132" s="261"/>
    </row>
    <row r="133" spans="1:28" ht="22.5" customHeight="1">
      <c r="A133" s="1065"/>
      <c r="B133" s="1070"/>
      <c r="C133" s="1061"/>
      <c r="D133" s="1061">
        <v>5229</v>
      </c>
      <c r="E133" s="306" t="s">
        <v>351</v>
      </c>
      <c r="F133" s="288">
        <f>[5]Druhova!G128</f>
        <v>27118.85254</v>
      </c>
      <c r="G133" s="288">
        <f>[5]Druhova!B128</f>
        <v>0</v>
      </c>
      <c r="H133" s="288">
        <f>[5]Druhova!C128</f>
        <v>6282.8389999999999</v>
      </c>
      <c r="I133" s="288">
        <f>[5]Druhova!D128</f>
        <v>46496.18318</v>
      </c>
      <c r="J133" s="288">
        <f t="shared" si="2"/>
        <v>740.05052779483924</v>
      </c>
      <c r="K133" s="289">
        <f t="shared" si="3"/>
        <v>171.45335744356683</v>
      </c>
      <c r="L133" s="260"/>
      <c r="M133" s="260"/>
      <c r="N133" s="260"/>
      <c r="O133" s="260"/>
      <c r="P133" s="260"/>
      <c r="S133" s="261"/>
      <c r="T133" s="261"/>
      <c r="U133" s="261"/>
      <c r="V133" s="261"/>
      <c r="W133" s="261"/>
      <c r="X133" s="261"/>
      <c r="Y133" s="261"/>
      <c r="Z133" s="261"/>
      <c r="AA133" s="261"/>
      <c r="AB133" s="261"/>
    </row>
    <row r="134" spans="1:28" ht="22.5" customHeight="1">
      <c r="A134" s="1065"/>
      <c r="B134" s="1070"/>
      <c r="C134" s="1061">
        <v>523</v>
      </c>
      <c r="D134" s="1061"/>
      <c r="E134" s="306" t="s">
        <v>352</v>
      </c>
      <c r="F134" s="288">
        <f>[5]Druhova!G129</f>
        <v>0</v>
      </c>
      <c r="G134" s="288">
        <f>[5]Druhova!B129</f>
        <v>0</v>
      </c>
      <c r="H134" s="288">
        <f>[5]Druhova!C129</f>
        <v>0</v>
      </c>
      <c r="I134" s="288">
        <f>[5]Druhova!D129</f>
        <v>0</v>
      </c>
      <c r="J134" s="288" t="str">
        <f t="shared" si="2"/>
        <v/>
      </c>
      <c r="K134" s="289" t="str">
        <f t="shared" si="3"/>
        <v/>
      </c>
      <c r="L134" s="260"/>
      <c r="M134" s="260"/>
      <c r="N134" s="260"/>
      <c r="O134" s="260"/>
      <c r="P134" s="260"/>
      <c r="S134" s="261"/>
      <c r="T134" s="261"/>
      <c r="U134" s="261"/>
      <c r="V134" s="261"/>
      <c r="W134" s="261"/>
      <c r="X134" s="261"/>
      <c r="Y134" s="261"/>
      <c r="Z134" s="261"/>
      <c r="AA134" s="261"/>
      <c r="AB134" s="261"/>
    </row>
    <row r="135" spans="1:28" ht="22.5" customHeight="1">
      <c r="A135" s="1065"/>
      <c r="B135" s="1070"/>
      <c r="C135" s="1061">
        <v>524</v>
      </c>
      <c r="D135" s="1061"/>
      <c r="E135" s="306" t="s">
        <v>353</v>
      </c>
      <c r="F135" s="288">
        <f>[5]Druhova!G130</f>
        <v>15</v>
      </c>
      <c r="G135" s="288">
        <f>[5]Druhova!B130</f>
        <v>200</v>
      </c>
      <c r="H135" s="288">
        <f>[5]Druhova!C130</f>
        <v>0</v>
      </c>
      <c r="I135" s="288">
        <f>[5]Druhova!D130</f>
        <v>0</v>
      </c>
      <c r="J135" s="288" t="str">
        <f t="shared" si="2"/>
        <v/>
      </c>
      <c r="K135" s="289">
        <f t="shared" si="3"/>
        <v>0</v>
      </c>
      <c r="L135" s="260"/>
      <c r="M135" s="260"/>
      <c r="N135" s="260"/>
      <c r="O135" s="260"/>
      <c r="P135" s="260"/>
      <c r="S135" s="261"/>
      <c r="T135" s="261"/>
      <c r="U135" s="261"/>
      <c r="V135" s="261"/>
      <c r="W135" s="261"/>
      <c r="X135" s="261"/>
      <c r="Y135" s="261"/>
      <c r="Z135" s="261"/>
      <c r="AA135" s="261"/>
      <c r="AB135" s="261"/>
    </row>
    <row r="136" spans="1:28" ht="22.5">
      <c r="A136" s="1065"/>
      <c r="B136" s="1070"/>
      <c r="C136" s="1061">
        <v>525</v>
      </c>
      <c r="D136" s="1061"/>
      <c r="E136" s="306" t="s">
        <v>354</v>
      </c>
      <c r="F136" s="288">
        <f>[5]Druhova!G131</f>
        <v>0</v>
      </c>
      <c r="G136" s="288">
        <f>[5]Druhova!B131</f>
        <v>0</v>
      </c>
      <c r="H136" s="288">
        <f>[5]Druhova!C131</f>
        <v>0</v>
      </c>
      <c r="I136" s="288">
        <f>[5]Druhova!D131</f>
        <v>0</v>
      </c>
      <c r="J136" s="288" t="str">
        <f t="shared" si="2"/>
        <v/>
      </c>
      <c r="K136" s="289" t="str">
        <f t="shared" si="3"/>
        <v/>
      </c>
      <c r="L136" s="260"/>
      <c r="M136" s="260"/>
      <c r="N136" s="260"/>
      <c r="O136" s="260"/>
      <c r="P136" s="260"/>
      <c r="S136" s="261"/>
      <c r="T136" s="261"/>
      <c r="U136" s="261"/>
      <c r="V136" s="261"/>
      <c r="W136" s="261"/>
      <c r="X136" s="261"/>
      <c r="Y136" s="261"/>
      <c r="Z136" s="261"/>
      <c r="AA136" s="261"/>
      <c r="AB136" s="261"/>
    </row>
    <row r="137" spans="1:28" s="286" customFormat="1" ht="26.25" customHeight="1">
      <c r="A137" s="1065"/>
      <c r="B137" s="1070">
        <v>52</v>
      </c>
      <c r="C137" s="1082"/>
      <c r="D137" s="1070"/>
      <c r="E137" s="307" t="s">
        <v>355</v>
      </c>
      <c r="F137" s="291">
        <f>[5]Druhova!G132</f>
        <v>333614.85746999999</v>
      </c>
      <c r="G137" s="291">
        <f>[5]Druhova!B132</f>
        <v>163041</v>
      </c>
      <c r="H137" s="291">
        <f>[5]Druhova!C132</f>
        <v>171300.527</v>
      </c>
      <c r="I137" s="291">
        <f>[5]Druhova!D132</f>
        <v>252903.47063</v>
      </c>
      <c r="J137" s="291">
        <f t="shared" si="2"/>
        <v>147.63729864648926</v>
      </c>
      <c r="K137" s="292">
        <f t="shared" si="3"/>
        <v>75.807016674232528</v>
      </c>
      <c r="L137" s="285"/>
      <c r="M137" s="285"/>
      <c r="N137" s="285"/>
      <c r="O137" s="285"/>
      <c r="P137" s="285"/>
      <c r="Q137" s="285"/>
      <c r="R137" s="285"/>
    </row>
    <row r="138" spans="1:28" ht="24.2" customHeight="1">
      <c r="A138" s="1065"/>
      <c r="B138" s="1070"/>
      <c r="C138" s="1061">
        <v>531</v>
      </c>
      <c r="D138" s="1061"/>
      <c r="E138" s="306" t="s">
        <v>356</v>
      </c>
      <c r="F138" s="288">
        <f>[5]Druhova!G133</f>
        <v>15715.77923</v>
      </c>
      <c r="G138" s="288">
        <f>[5]Druhova!B133</f>
        <v>0</v>
      </c>
      <c r="H138" s="288">
        <f>[5]Druhova!C133</f>
        <v>0</v>
      </c>
      <c r="I138" s="288">
        <f>[5]Druhova!D133</f>
        <v>6281.1810699999996</v>
      </c>
      <c r="J138" s="288" t="str">
        <f t="shared" si="2"/>
        <v/>
      </c>
      <c r="K138" s="289">
        <f t="shared" si="3"/>
        <v>39.967353690040348</v>
      </c>
      <c r="L138" s="260"/>
      <c r="M138" s="260"/>
      <c r="N138" s="260"/>
      <c r="O138" s="260"/>
      <c r="P138" s="260"/>
      <c r="S138" s="261"/>
      <c r="T138" s="261"/>
      <c r="U138" s="261"/>
      <c r="V138" s="261"/>
      <c r="W138" s="261"/>
      <c r="X138" s="261"/>
      <c r="Y138" s="261"/>
      <c r="Z138" s="261"/>
      <c r="AA138" s="261"/>
      <c r="AB138" s="261"/>
    </row>
    <row r="139" spans="1:28">
      <c r="A139" s="1065"/>
      <c r="B139" s="1070"/>
      <c r="C139" s="1061"/>
      <c r="D139" s="1061">
        <v>5312</v>
      </c>
      <c r="E139" s="306" t="s">
        <v>357</v>
      </c>
      <c r="F139" s="288">
        <f>[5]Druhova!G134</f>
        <v>15715.77923</v>
      </c>
      <c r="G139" s="288">
        <f>[5]Druhova!B134</f>
        <v>0</v>
      </c>
      <c r="H139" s="288">
        <f>[5]Druhova!C134</f>
        <v>0</v>
      </c>
      <c r="I139" s="288">
        <f>[5]Druhova!D134</f>
        <v>6281.1810699999996</v>
      </c>
      <c r="J139" s="288" t="str">
        <f t="shared" si="2"/>
        <v/>
      </c>
      <c r="K139" s="289">
        <f t="shared" si="3"/>
        <v>39.967353690040348</v>
      </c>
      <c r="L139" s="260"/>
      <c r="M139" s="260"/>
      <c r="N139" s="260"/>
      <c r="O139" s="260"/>
      <c r="P139" s="260"/>
      <c r="S139" s="261"/>
      <c r="T139" s="261"/>
      <c r="U139" s="261"/>
      <c r="V139" s="261"/>
      <c r="W139" s="261"/>
      <c r="X139" s="261"/>
      <c r="Y139" s="261"/>
      <c r="Z139" s="261"/>
      <c r="AA139" s="261"/>
      <c r="AB139" s="261"/>
    </row>
    <row r="140" spans="1:28" ht="22.5" customHeight="1">
      <c r="A140" s="1065"/>
      <c r="B140" s="1070"/>
      <c r="C140" s="1061"/>
      <c r="D140" s="1061">
        <v>5314</v>
      </c>
      <c r="E140" s="324" t="s">
        <v>358</v>
      </c>
      <c r="F140" s="288">
        <f>[5]Druhova!G135</f>
        <v>0</v>
      </c>
      <c r="G140" s="288">
        <f>[5]Druhova!B135</f>
        <v>0</v>
      </c>
      <c r="H140" s="288">
        <f>[5]Druhova!C135</f>
        <v>0</v>
      </c>
      <c r="I140" s="288">
        <f>[5]Druhova!D135</f>
        <v>0</v>
      </c>
      <c r="J140" s="288" t="str">
        <f t="shared" si="2"/>
        <v/>
      </c>
      <c r="K140" s="289" t="str">
        <f t="shared" si="3"/>
        <v/>
      </c>
      <c r="L140" s="260"/>
      <c r="M140" s="260"/>
      <c r="N140" s="260"/>
      <c r="O140" s="260"/>
      <c r="P140" s="260"/>
      <c r="S140" s="261"/>
      <c r="T140" s="261"/>
      <c r="U140" s="261"/>
      <c r="V140" s="261"/>
      <c r="W140" s="261"/>
      <c r="X140" s="261"/>
      <c r="Y140" s="261"/>
      <c r="Z140" s="261"/>
      <c r="AA140" s="261"/>
      <c r="AB140" s="261"/>
    </row>
    <row r="141" spans="1:28" ht="22.5" customHeight="1">
      <c r="A141" s="1099"/>
      <c r="B141" s="1100"/>
      <c r="C141" s="1061"/>
      <c r="D141" s="1101">
        <v>5318</v>
      </c>
      <c r="E141" s="324" t="s">
        <v>359</v>
      </c>
      <c r="F141" s="288">
        <f>[5]Druhova!G136</f>
        <v>0</v>
      </c>
      <c r="G141" s="288">
        <f>[5]Druhova!B136</f>
        <v>0</v>
      </c>
      <c r="H141" s="288">
        <f>[5]Druhova!C136</f>
        <v>0</v>
      </c>
      <c r="I141" s="288">
        <f>[5]Druhova!D136</f>
        <v>0</v>
      </c>
      <c r="J141" s="288" t="str">
        <f t="shared" si="2"/>
        <v/>
      </c>
      <c r="K141" s="289" t="str">
        <f t="shared" si="3"/>
        <v/>
      </c>
      <c r="L141" s="260"/>
      <c r="M141" s="260"/>
      <c r="N141" s="260"/>
      <c r="O141" s="260"/>
      <c r="P141" s="260"/>
      <c r="S141" s="261"/>
      <c r="T141" s="261"/>
      <c r="U141" s="261"/>
      <c r="V141" s="261"/>
      <c r="W141" s="261"/>
      <c r="X141" s="261"/>
      <c r="Y141" s="261"/>
      <c r="Z141" s="261"/>
      <c r="AA141" s="261"/>
      <c r="AB141" s="261"/>
    </row>
    <row r="142" spans="1:28" ht="22.5" customHeight="1">
      <c r="A142" s="1065"/>
      <c r="B142" s="1070"/>
      <c r="C142" s="1061">
        <v>532</v>
      </c>
      <c r="D142" s="1061"/>
      <c r="E142" s="306" t="s">
        <v>360</v>
      </c>
      <c r="F142" s="288">
        <f>[5]Druhova!G137</f>
        <v>298029.03622000001</v>
      </c>
      <c r="G142" s="288">
        <f>[5]Druhova!B137</f>
        <v>116966.505</v>
      </c>
      <c r="H142" s="288">
        <f>[5]Druhova!C137</f>
        <v>128912.887</v>
      </c>
      <c r="I142" s="288">
        <f>[5]Druhova!D137</f>
        <v>178044.67585999999</v>
      </c>
      <c r="J142" s="288">
        <f t="shared" si="2"/>
        <v>138.11239512462393</v>
      </c>
      <c r="K142" s="289">
        <f t="shared" si="3"/>
        <v>59.740714568687338</v>
      </c>
      <c r="L142" s="260"/>
      <c r="M142" s="260"/>
      <c r="N142" s="260"/>
      <c r="O142" s="260"/>
      <c r="P142" s="260"/>
      <c r="S142" s="261"/>
      <c r="T142" s="261"/>
      <c r="U142" s="261"/>
      <c r="V142" s="261"/>
      <c r="W142" s="261"/>
      <c r="X142" s="261"/>
      <c r="Y142" s="261"/>
      <c r="Z142" s="261"/>
      <c r="AA142" s="261"/>
      <c r="AB142" s="261"/>
    </row>
    <row r="143" spans="1:28">
      <c r="A143" s="1065"/>
      <c r="B143" s="1070"/>
      <c r="C143" s="1061"/>
      <c r="D143" s="1061">
        <v>5321</v>
      </c>
      <c r="E143" s="306" t="s">
        <v>361</v>
      </c>
      <c r="F143" s="288">
        <f>[5]Druhova!G138</f>
        <v>190064.74197999999</v>
      </c>
      <c r="G143" s="288">
        <f>[5]Druhova!B138</f>
        <v>47657.345000000001</v>
      </c>
      <c r="H143" s="288">
        <f>[5]Druhova!C138</f>
        <v>58484.426509999998</v>
      </c>
      <c r="I143" s="288">
        <f>[5]Druhova!D138</f>
        <v>106634.65411</v>
      </c>
      <c r="J143" s="288">
        <f t="shared" si="2"/>
        <v>182.3299987249888</v>
      </c>
      <c r="K143" s="289">
        <f t="shared" si="3"/>
        <v>56.104384747603994</v>
      </c>
      <c r="L143" s="260"/>
      <c r="M143" s="260"/>
      <c r="N143" s="260"/>
      <c r="O143" s="260"/>
      <c r="P143" s="260"/>
      <c r="S143" s="261"/>
      <c r="T143" s="261"/>
      <c r="U143" s="261"/>
      <c r="V143" s="261"/>
      <c r="W143" s="261"/>
      <c r="X143" s="261"/>
      <c r="Y143" s="261"/>
      <c r="Z143" s="261"/>
      <c r="AA143" s="261"/>
      <c r="AB143" s="261"/>
    </row>
    <row r="144" spans="1:28" ht="22.5" customHeight="1">
      <c r="A144" s="1065"/>
      <c r="B144" s="1070"/>
      <c r="C144" s="1061"/>
      <c r="D144" s="1061">
        <v>5322</v>
      </c>
      <c r="E144" s="306" t="s">
        <v>362</v>
      </c>
      <c r="F144" s="288">
        <f>[5]Druhova!G139</f>
        <v>0</v>
      </c>
      <c r="G144" s="288">
        <f>[5]Druhova!B139</f>
        <v>0</v>
      </c>
      <c r="H144" s="288">
        <f>[5]Druhova!C139</f>
        <v>0</v>
      </c>
      <c r="I144" s="288">
        <f>[5]Druhova!D139</f>
        <v>0</v>
      </c>
      <c r="J144" s="288" t="str">
        <f t="shared" ref="J144:J207" si="4">IF(H144=0,"",I144/H144*100)</f>
        <v/>
      </c>
      <c r="K144" s="289" t="str">
        <f t="shared" ref="K144:K207" si="5">IF(F144=0,"",I144/F144*100)</f>
        <v/>
      </c>
      <c r="L144" s="260"/>
      <c r="M144" s="260"/>
      <c r="N144" s="260"/>
      <c r="O144" s="260"/>
      <c r="P144" s="260"/>
      <c r="S144" s="261"/>
      <c r="T144" s="261"/>
      <c r="U144" s="261"/>
      <c r="V144" s="261"/>
      <c r="W144" s="261"/>
      <c r="X144" s="261"/>
      <c r="Y144" s="261"/>
      <c r="Z144" s="261"/>
      <c r="AA144" s="261"/>
      <c r="AB144" s="261"/>
    </row>
    <row r="145" spans="1:28" s="286" customFormat="1">
      <c r="A145" s="1065"/>
      <c r="B145" s="1070"/>
      <c r="C145" s="1061"/>
      <c r="D145" s="1061">
        <v>5323</v>
      </c>
      <c r="E145" s="306" t="s">
        <v>363</v>
      </c>
      <c r="F145" s="288">
        <f>[5]Druhova!G140</f>
        <v>107964.29424</v>
      </c>
      <c r="G145" s="288">
        <f>[5]Druhova!B140</f>
        <v>69309.16</v>
      </c>
      <c r="H145" s="288">
        <f>[5]Druhova!C140</f>
        <v>70428.460489999998</v>
      </c>
      <c r="I145" s="288">
        <f>[5]Druhova!D140</f>
        <v>71410.02175</v>
      </c>
      <c r="J145" s="288">
        <f t="shared" si="4"/>
        <v>101.3936997247574</v>
      </c>
      <c r="K145" s="289">
        <f t="shared" si="5"/>
        <v>66.14225772759518</v>
      </c>
      <c r="L145" s="285"/>
      <c r="M145" s="285"/>
      <c r="N145" s="285"/>
      <c r="O145" s="285"/>
      <c r="P145" s="285"/>
      <c r="Q145" s="285"/>
      <c r="R145" s="285"/>
    </row>
    <row r="146" spans="1:28" ht="22.5">
      <c r="A146" s="1065"/>
      <c r="B146" s="1070"/>
      <c r="C146" s="1061"/>
      <c r="D146" s="1061">
        <v>5324</v>
      </c>
      <c r="E146" s="306" t="s">
        <v>364</v>
      </c>
      <c r="F146" s="288">
        <f>[5]Druhova!G141</f>
        <v>0</v>
      </c>
      <c r="G146" s="288">
        <f>[5]Druhova!B141</f>
        <v>0</v>
      </c>
      <c r="H146" s="288">
        <f>[5]Druhova!C141</f>
        <v>0</v>
      </c>
      <c r="I146" s="288">
        <f>[5]Druhova!D141</f>
        <v>0</v>
      </c>
      <c r="J146" s="288" t="str">
        <f t="shared" si="4"/>
        <v/>
      </c>
      <c r="K146" s="289" t="str">
        <f t="shared" si="5"/>
        <v/>
      </c>
      <c r="L146" s="260"/>
      <c r="M146" s="260"/>
      <c r="N146" s="260"/>
      <c r="O146" s="260"/>
      <c r="P146" s="260"/>
      <c r="S146" s="261"/>
      <c r="T146" s="261"/>
      <c r="U146" s="261"/>
      <c r="V146" s="261"/>
      <c r="W146" s="261"/>
      <c r="X146" s="261"/>
      <c r="Y146" s="261"/>
      <c r="Z146" s="261"/>
      <c r="AA146" s="261"/>
      <c r="AB146" s="261"/>
    </row>
    <row r="147" spans="1:28">
      <c r="A147" s="1065"/>
      <c r="B147" s="1070"/>
      <c r="C147" s="1061"/>
      <c r="D147" s="1061">
        <v>5325</v>
      </c>
      <c r="E147" s="306" t="s">
        <v>365</v>
      </c>
      <c r="F147" s="288">
        <f>[5]Druhova!G142</f>
        <v>0</v>
      </c>
      <c r="G147" s="288">
        <f>[5]Druhova!B142</f>
        <v>0</v>
      </c>
      <c r="H147" s="288">
        <f>[5]Druhova!C142</f>
        <v>0</v>
      </c>
      <c r="I147" s="288">
        <f>[5]Druhova!D142</f>
        <v>0</v>
      </c>
      <c r="J147" s="288" t="str">
        <f t="shared" si="4"/>
        <v/>
      </c>
      <c r="K147" s="289" t="str">
        <f t="shared" si="5"/>
        <v/>
      </c>
      <c r="L147" s="260"/>
      <c r="M147" s="260"/>
      <c r="N147" s="260"/>
      <c r="O147" s="260"/>
      <c r="P147" s="260"/>
      <c r="S147" s="261"/>
      <c r="T147" s="261"/>
      <c r="U147" s="261"/>
      <c r="V147" s="261"/>
      <c r="W147" s="261"/>
      <c r="X147" s="261"/>
      <c r="Y147" s="261"/>
      <c r="Z147" s="261"/>
      <c r="AA147" s="261"/>
      <c r="AB147" s="261"/>
    </row>
    <row r="148" spans="1:28" ht="22.5" customHeight="1">
      <c r="A148" s="1065"/>
      <c r="B148" s="1070"/>
      <c r="C148" s="1061"/>
      <c r="D148" s="1061">
        <v>5329</v>
      </c>
      <c r="E148" s="306" t="s">
        <v>366</v>
      </c>
      <c r="F148" s="288">
        <f>[5]Druhova!G143</f>
        <v>0</v>
      </c>
      <c r="G148" s="288">
        <f>[5]Druhova!B143</f>
        <v>0</v>
      </c>
      <c r="H148" s="288">
        <f>[5]Druhova!C143</f>
        <v>0</v>
      </c>
      <c r="I148" s="288">
        <f>[5]Druhova!D143</f>
        <v>0</v>
      </c>
      <c r="J148" s="288" t="str">
        <f t="shared" si="4"/>
        <v/>
      </c>
      <c r="K148" s="289" t="str">
        <f t="shared" si="5"/>
        <v/>
      </c>
      <c r="L148" s="260"/>
      <c r="M148" s="260"/>
      <c r="N148" s="260"/>
      <c r="O148" s="260"/>
      <c r="P148" s="260"/>
      <c r="S148" s="261"/>
      <c r="T148" s="261"/>
      <c r="U148" s="261"/>
      <c r="V148" s="261"/>
      <c r="W148" s="261"/>
      <c r="X148" s="261"/>
      <c r="Y148" s="261"/>
      <c r="Z148" s="261"/>
      <c r="AA148" s="261"/>
      <c r="AB148" s="261"/>
    </row>
    <row r="149" spans="1:28" ht="22.5" customHeight="1">
      <c r="A149" s="1065"/>
      <c r="B149" s="1070"/>
      <c r="C149" s="1061">
        <v>533</v>
      </c>
      <c r="D149" s="1061"/>
      <c r="E149" s="306" t="s">
        <v>367</v>
      </c>
      <c r="F149" s="288">
        <f>[5]Druhova!G144</f>
        <v>1077595.01886</v>
      </c>
      <c r="G149" s="288">
        <f>[5]Druhova!B144</f>
        <v>814018.81299999997</v>
      </c>
      <c r="H149" s="288">
        <f>[5]Druhova!C144</f>
        <v>989484.63899999997</v>
      </c>
      <c r="I149" s="288">
        <f>[5]Druhova!D144</f>
        <v>1047797.38159</v>
      </c>
      <c r="J149" s="288">
        <f t="shared" si="4"/>
        <v>105.89324384549643</v>
      </c>
      <c r="K149" s="289">
        <f t="shared" si="5"/>
        <v>97.234801873757434</v>
      </c>
      <c r="L149" s="260"/>
      <c r="M149" s="260"/>
      <c r="N149" s="260"/>
      <c r="O149" s="260"/>
      <c r="P149" s="260"/>
      <c r="S149" s="261"/>
      <c r="T149" s="261"/>
      <c r="U149" s="261"/>
      <c r="V149" s="261"/>
      <c r="W149" s="261"/>
      <c r="X149" s="261"/>
      <c r="Y149" s="261"/>
      <c r="Z149" s="261"/>
      <c r="AA149" s="261"/>
      <c r="AB149" s="261"/>
    </row>
    <row r="150" spans="1:28" ht="16.7" customHeight="1">
      <c r="A150" s="1065"/>
      <c r="B150" s="1070"/>
      <c r="C150" s="1061">
        <v>534</v>
      </c>
      <c r="D150" s="1061"/>
      <c r="E150" s="306" t="s">
        <v>368</v>
      </c>
      <c r="F150" s="288">
        <f>[5]Druhova!G145</f>
        <v>233257.0981</v>
      </c>
      <c r="G150" s="288">
        <f>[5]Druhova!B145</f>
        <v>241575.56299999999</v>
      </c>
      <c r="H150" s="288">
        <f>[5]Druhova!C145</f>
        <v>246790.86356</v>
      </c>
      <c r="I150" s="288">
        <f>[5]Druhova!D145</f>
        <v>281233.70342999999</v>
      </c>
      <c r="J150" s="288">
        <f t="shared" si="4"/>
        <v>113.95628645775464</v>
      </c>
      <c r="K150" s="289">
        <f t="shared" si="5"/>
        <v>120.56812235117145</v>
      </c>
      <c r="L150" s="260"/>
      <c r="M150" s="260"/>
      <c r="N150" s="260"/>
      <c r="O150" s="260"/>
      <c r="P150" s="260"/>
      <c r="S150" s="261"/>
      <c r="T150" s="261"/>
      <c r="U150" s="261"/>
      <c r="V150" s="261"/>
      <c r="W150" s="261"/>
      <c r="X150" s="261"/>
      <c r="Y150" s="261"/>
      <c r="Z150" s="261"/>
      <c r="AA150" s="261"/>
      <c r="AB150" s="261"/>
    </row>
    <row r="151" spans="1:28" ht="22.5" customHeight="1">
      <c r="A151" s="1065"/>
      <c r="B151" s="1070"/>
      <c r="C151" s="1061"/>
      <c r="D151" s="1061">
        <v>5342</v>
      </c>
      <c r="E151" s="306" t="s">
        <v>369</v>
      </c>
      <c r="F151" s="288">
        <f>[5]Druhova!G146</f>
        <v>233256.76246999999</v>
      </c>
      <c r="G151" s="288">
        <f>[5]Druhova!B146</f>
        <v>241575.56299999999</v>
      </c>
      <c r="H151" s="288">
        <f>[5]Druhova!C146</f>
        <v>246727.59400000001</v>
      </c>
      <c r="I151" s="288">
        <f>[5]Druhova!D146</f>
        <v>248613.08798000001</v>
      </c>
      <c r="J151" s="288">
        <f t="shared" si="4"/>
        <v>100.7642006917151</v>
      </c>
      <c r="K151" s="289">
        <f t="shared" si="5"/>
        <v>106.58344278956331</v>
      </c>
      <c r="L151" s="260"/>
      <c r="M151" s="260"/>
      <c r="N151" s="260"/>
      <c r="O151" s="260"/>
      <c r="P151" s="260"/>
      <c r="S151" s="261"/>
      <c r="T151" s="261"/>
      <c r="U151" s="261"/>
      <c r="V151" s="261"/>
      <c r="W151" s="261"/>
      <c r="X151" s="261"/>
      <c r="Y151" s="261"/>
      <c r="Z151" s="261"/>
      <c r="AA151" s="261"/>
      <c r="AB151" s="261"/>
    </row>
    <row r="152" spans="1:28" ht="16.7" customHeight="1">
      <c r="A152" s="1065"/>
      <c r="B152" s="1070"/>
      <c r="C152" s="1061"/>
      <c r="D152" s="1061">
        <v>5346</v>
      </c>
      <c r="E152" s="306" t="s">
        <v>370</v>
      </c>
      <c r="F152" s="288">
        <f>[5]Druhova!G147</f>
        <v>0</v>
      </c>
      <c r="G152" s="288">
        <f>[5]Druhova!B147</f>
        <v>0</v>
      </c>
      <c r="H152" s="288">
        <f>[5]Druhova!C147</f>
        <v>0</v>
      </c>
      <c r="I152" s="288">
        <f>[5]Druhova!D147</f>
        <v>32557.346389999999</v>
      </c>
      <c r="J152" s="288" t="str">
        <f t="shared" si="4"/>
        <v/>
      </c>
      <c r="K152" s="289" t="str">
        <f t="shared" si="5"/>
        <v/>
      </c>
      <c r="L152" s="260"/>
      <c r="M152" s="260"/>
      <c r="N152" s="260"/>
      <c r="O152" s="260"/>
      <c r="P152" s="260"/>
      <c r="S152" s="261"/>
      <c r="T152" s="261"/>
      <c r="U152" s="261"/>
      <c r="V152" s="261"/>
      <c r="W152" s="261"/>
      <c r="X152" s="261"/>
      <c r="Y152" s="261"/>
      <c r="Z152" s="261"/>
      <c r="AA152" s="261"/>
      <c r="AB152" s="261"/>
    </row>
    <row r="153" spans="1:28" ht="22.5" customHeight="1">
      <c r="A153" s="1065"/>
      <c r="B153" s="1070"/>
      <c r="C153" s="1061">
        <v>536</v>
      </c>
      <c r="D153" s="1061"/>
      <c r="E153" s="325" t="s">
        <v>371</v>
      </c>
      <c r="F153" s="288">
        <f>[5]Druhova!G148</f>
        <v>17620.703140000001</v>
      </c>
      <c r="G153" s="288">
        <f>[5]Druhova!B148</f>
        <v>8330.9560000000001</v>
      </c>
      <c r="H153" s="288">
        <f>[5]Druhova!C148</f>
        <v>16952.156719999999</v>
      </c>
      <c r="I153" s="288">
        <f>[5]Druhova!D148</f>
        <v>16207.28745</v>
      </c>
      <c r="J153" s="288">
        <f t="shared" si="4"/>
        <v>95.606050119149671</v>
      </c>
      <c r="K153" s="289">
        <f t="shared" si="5"/>
        <v>91.978664649360852</v>
      </c>
      <c r="L153" s="260"/>
      <c r="M153" s="260"/>
      <c r="N153" s="260"/>
      <c r="O153" s="260"/>
      <c r="P153" s="260"/>
      <c r="S153" s="261"/>
      <c r="T153" s="261"/>
      <c r="U153" s="261"/>
      <c r="V153" s="261"/>
      <c r="W153" s="261"/>
      <c r="X153" s="261"/>
      <c r="Y153" s="261"/>
      <c r="Z153" s="261"/>
      <c r="AA153" s="261"/>
      <c r="AB153" s="261"/>
    </row>
    <row r="154" spans="1:28" ht="36">
      <c r="A154" s="1065"/>
      <c r="B154" s="1070">
        <v>53</v>
      </c>
      <c r="C154" s="1061"/>
      <c r="D154" s="1070"/>
      <c r="E154" s="307" t="s">
        <v>372</v>
      </c>
      <c r="F154" s="291">
        <f>[5]Druhova!G149</f>
        <v>1642217.63555</v>
      </c>
      <c r="G154" s="291">
        <f>[5]Druhova!B149</f>
        <v>1180891.8370000001</v>
      </c>
      <c r="H154" s="291">
        <f>[5]Druhova!C149</f>
        <v>1382140.5462799999</v>
      </c>
      <c r="I154" s="291">
        <f>[5]Druhova!D149</f>
        <v>1529564.2294000001</v>
      </c>
      <c r="J154" s="291">
        <f t="shared" si="4"/>
        <v>110.66633082408208</v>
      </c>
      <c r="K154" s="292">
        <f t="shared" si="5"/>
        <v>93.140165851874386</v>
      </c>
      <c r="L154" s="260"/>
      <c r="M154" s="260"/>
      <c r="N154" s="260"/>
      <c r="O154" s="260"/>
      <c r="P154" s="260"/>
      <c r="S154" s="261"/>
      <c r="T154" s="261"/>
      <c r="U154" s="261"/>
      <c r="V154" s="261"/>
      <c r="W154" s="261"/>
      <c r="X154" s="261"/>
      <c r="Y154" s="261"/>
      <c r="Z154" s="261"/>
      <c r="AA154" s="261"/>
      <c r="AB154" s="261"/>
    </row>
    <row r="155" spans="1:28">
      <c r="A155" s="1065"/>
      <c r="B155" s="1070"/>
      <c r="C155" s="1061">
        <v>541</v>
      </c>
      <c r="D155" s="1061"/>
      <c r="E155" s="306" t="s">
        <v>373</v>
      </c>
      <c r="F155" s="288">
        <f>[5]Druhova!G150</f>
        <v>8597824.6941500008</v>
      </c>
      <c r="G155" s="288">
        <f>[5]Druhova!B150</f>
        <v>9437126</v>
      </c>
      <c r="H155" s="288">
        <f>[5]Druhova!C150</f>
        <v>9055426.9350000005</v>
      </c>
      <c r="I155" s="288">
        <f>[5]Druhova!D150</f>
        <v>8762334.9617100004</v>
      </c>
      <c r="J155" s="288">
        <f t="shared" si="4"/>
        <v>96.763355550281403</v>
      </c>
      <c r="K155" s="289">
        <f t="shared" si="5"/>
        <v>101.91339406666356</v>
      </c>
      <c r="L155" s="260"/>
      <c r="M155" s="260"/>
      <c r="N155" s="260"/>
      <c r="O155" s="260"/>
      <c r="P155" s="260"/>
      <c r="S155" s="261"/>
      <c r="T155" s="261"/>
      <c r="U155" s="261"/>
      <c r="V155" s="261"/>
      <c r="W155" s="261"/>
      <c r="X155" s="261"/>
      <c r="Y155" s="261"/>
      <c r="Z155" s="261"/>
      <c r="AA155" s="261"/>
      <c r="AB155" s="261"/>
    </row>
    <row r="156" spans="1:28">
      <c r="A156" s="1065"/>
      <c r="B156" s="1070"/>
      <c r="C156" s="1061">
        <v>542</v>
      </c>
      <c r="D156" s="1061"/>
      <c r="E156" s="306" t="s">
        <v>374</v>
      </c>
      <c r="F156" s="288">
        <f>[5]Druhova!G151</f>
        <v>82205.019140000004</v>
      </c>
      <c r="G156" s="288">
        <f>[5]Druhova!B151</f>
        <v>44036.182000000001</v>
      </c>
      <c r="H156" s="288">
        <f>[5]Druhova!C151</f>
        <v>56129.72352</v>
      </c>
      <c r="I156" s="288">
        <f>[5]Druhova!D151</f>
        <v>70013.419970000003</v>
      </c>
      <c r="J156" s="288">
        <f t="shared" si="4"/>
        <v>124.73501663526456</v>
      </c>
      <c r="K156" s="289">
        <f t="shared" si="5"/>
        <v>85.169276404842151</v>
      </c>
      <c r="L156" s="260"/>
      <c r="M156" s="260"/>
      <c r="N156" s="260"/>
      <c r="O156" s="260"/>
      <c r="P156" s="260"/>
      <c r="S156" s="261"/>
      <c r="T156" s="261"/>
      <c r="U156" s="261"/>
      <c r="V156" s="261"/>
      <c r="W156" s="261"/>
      <c r="X156" s="261"/>
      <c r="Y156" s="261"/>
      <c r="Z156" s="261"/>
      <c r="AA156" s="261"/>
      <c r="AB156" s="261"/>
    </row>
    <row r="157" spans="1:28">
      <c r="A157" s="1065"/>
      <c r="B157" s="1070"/>
      <c r="C157" s="1061">
        <v>549</v>
      </c>
      <c r="D157" s="1061"/>
      <c r="E157" s="306" t="s">
        <v>375</v>
      </c>
      <c r="F157" s="288">
        <f>[5]Druhova!G152</f>
        <v>8225.4042599999993</v>
      </c>
      <c r="G157" s="288">
        <f>[5]Druhova!B152</f>
        <v>9193</v>
      </c>
      <c r="H157" s="288">
        <f>[5]Druhova!C152</f>
        <v>15208.933999999999</v>
      </c>
      <c r="I157" s="288">
        <f>[5]Druhova!D152</f>
        <v>14658.32098</v>
      </c>
      <c r="J157" s="288">
        <f t="shared" si="4"/>
        <v>96.379673815403507</v>
      </c>
      <c r="K157" s="289">
        <f t="shared" si="5"/>
        <v>178.20790950401266</v>
      </c>
      <c r="L157" s="260"/>
      <c r="M157" s="260"/>
      <c r="N157" s="260"/>
      <c r="O157" s="260"/>
      <c r="P157" s="260"/>
      <c r="S157" s="261"/>
      <c r="T157" s="261"/>
      <c r="U157" s="261"/>
      <c r="V157" s="261"/>
      <c r="W157" s="261"/>
      <c r="X157" s="261"/>
      <c r="Y157" s="261"/>
      <c r="Z157" s="261"/>
      <c r="AA157" s="261"/>
      <c r="AB157" s="261"/>
    </row>
    <row r="158" spans="1:28">
      <c r="A158" s="1065"/>
      <c r="B158" s="1070">
        <v>54</v>
      </c>
      <c r="C158" s="1061"/>
      <c r="D158" s="1070"/>
      <c r="E158" s="326" t="s">
        <v>376</v>
      </c>
      <c r="F158" s="291">
        <f>[5]Druhova!G153</f>
        <v>8688255.1175500005</v>
      </c>
      <c r="G158" s="291">
        <f>[5]Druhova!B153</f>
        <v>9490355.182</v>
      </c>
      <c r="H158" s="291">
        <f>[5]Druhova!C153</f>
        <v>9126765.5925200004</v>
      </c>
      <c r="I158" s="291">
        <f>[5]Druhova!D153</f>
        <v>8847006.70266</v>
      </c>
      <c r="J158" s="291">
        <f t="shared" si="4"/>
        <v>96.934742247688689</v>
      </c>
      <c r="K158" s="292">
        <f t="shared" si="5"/>
        <v>101.82719755534487</v>
      </c>
      <c r="L158" s="260"/>
      <c r="M158" s="260"/>
      <c r="N158" s="260"/>
      <c r="O158" s="260"/>
      <c r="P158" s="260"/>
      <c r="S158" s="261"/>
      <c r="T158" s="261"/>
      <c r="U158" s="261"/>
      <c r="V158" s="261"/>
      <c r="W158" s="261"/>
      <c r="X158" s="261"/>
      <c r="Y158" s="261"/>
      <c r="Z158" s="261"/>
      <c r="AA158" s="261"/>
      <c r="AB158" s="261"/>
    </row>
    <row r="159" spans="1:28" ht="24.2" customHeight="1">
      <c r="A159" s="1065"/>
      <c r="B159" s="1070"/>
      <c r="C159" s="1061">
        <v>551</v>
      </c>
      <c r="D159" s="1061"/>
      <c r="E159" s="306" t="s">
        <v>377</v>
      </c>
      <c r="F159" s="288">
        <f>[5]Druhova!G154</f>
        <v>15010.790370000001</v>
      </c>
      <c r="G159" s="288">
        <f>[5]Druhova!B154</f>
        <v>9154</v>
      </c>
      <c r="H159" s="288">
        <f>[5]Druhova!C154</f>
        <v>12496.796780000001</v>
      </c>
      <c r="I159" s="288">
        <f>[5]Druhova!D154</f>
        <v>13968.58763</v>
      </c>
      <c r="J159" s="288">
        <f t="shared" si="4"/>
        <v>111.77734483412156</v>
      </c>
      <c r="K159" s="289">
        <f t="shared" si="5"/>
        <v>93.056976253009921</v>
      </c>
      <c r="L159" s="260"/>
      <c r="M159" s="260"/>
      <c r="N159" s="260"/>
      <c r="O159" s="260"/>
      <c r="P159" s="260"/>
      <c r="S159" s="261"/>
      <c r="T159" s="261"/>
      <c r="U159" s="261"/>
      <c r="V159" s="261"/>
      <c r="W159" s="261"/>
      <c r="X159" s="261"/>
      <c r="Y159" s="261"/>
      <c r="Z159" s="261"/>
      <c r="AA159" s="261"/>
      <c r="AB159" s="261"/>
    </row>
    <row r="160" spans="1:28" ht="34.700000000000003" customHeight="1">
      <c r="A160" s="1065"/>
      <c r="B160" s="1070"/>
      <c r="C160" s="1061"/>
      <c r="D160" s="1061">
        <v>5514</v>
      </c>
      <c r="E160" s="306" t="s">
        <v>378</v>
      </c>
      <c r="F160" s="288">
        <f>[5]Druhova!G155</f>
        <v>0</v>
      </c>
      <c r="G160" s="288">
        <f>[5]Druhova!B155</f>
        <v>0</v>
      </c>
      <c r="H160" s="288">
        <f>[5]Druhova!C155</f>
        <v>0</v>
      </c>
      <c r="I160" s="288">
        <f>[5]Druhova!D155</f>
        <v>0</v>
      </c>
      <c r="J160" s="288" t="str">
        <f t="shared" si="4"/>
        <v/>
      </c>
      <c r="K160" s="289" t="str">
        <f t="shared" si="5"/>
        <v/>
      </c>
      <c r="L160" s="260"/>
      <c r="M160" s="260"/>
      <c r="N160" s="260"/>
      <c r="O160" s="260"/>
      <c r="P160" s="260"/>
      <c r="S160" s="261"/>
      <c r="T160" s="261"/>
      <c r="U160" s="261"/>
      <c r="V160" s="261"/>
      <c r="W160" s="261"/>
      <c r="X160" s="261"/>
      <c r="Y160" s="261"/>
      <c r="Z160" s="261"/>
      <c r="AA160" s="261"/>
      <c r="AB160" s="261"/>
    </row>
    <row r="161" spans="1:28" ht="34.700000000000003" customHeight="1">
      <c r="A161" s="1065"/>
      <c r="B161" s="1070"/>
      <c r="C161" s="1061"/>
      <c r="D161" s="1061">
        <v>5515</v>
      </c>
      <c r="E161" s="306" t="s">
        <v>379</v>
      </c>
      <c r="F161" s="288">
        <f>[5]Druhova!G156</f>
        <v>0</v>
      </c>
      <c r="G161" s="288">
        <f>[5]Druhova!B156</f>
        <v>0</v>
      </c>
      <c r="H161" s="288">
        <f>[5]Druhova!C156</f>
        <v>0</v>
      </c>
      <c r="I161" s="288">
        <f>[5]Druhova!D156</f>
        <v>0</v>
      </c>
      <c r="J161" s="288" t="str">
        <f t="shared" si="4"/>
        <v/>
      </c>
      <c r="K161" s="289" t="str">
        <f t="shared" si="5"/>
        <v/>
      </c>
      <c r="L161" s="260"/>
      <c r="M161" s="260"/>
      <c r="N161" s="260"/>
      <c r="O161" s="260"/>
      <c r="P161" s="260"/>
      <c r="S161" s="261"/>
      <c r="T161" s="261"/>
      <c r="U161" s="261"/>
      <c r="V161" s="261"/>
      <c r="W161" s="261"/>
      <c r="X161" s="261"/>
      <c r="Y161" s="261"/>
      <c r="Z161" s="261"/>
      <c r="AA161" s="261"/>
      <c r="AB161" s="261"/>
    </row>
    <row r="162" spans="1:28">
      <c r="A162" s="1065"/>
      <c r="B162" s="1070"/>
      <c r="C162" s="1061">
        <v>552</v>
      </c>
      <c r="D162" s="1061"/>
      <c r="E162" s="306" t="s">
        <v>380</v>
      </c>
      <c r="F162" s="288">
        <f>[5]Druhova!G157</f>
        <v>0</v>
      </c>
      <c r="G162" s="288">
        <f>[5]Druhova!B157</f>
        <v>0</v>
      </c>
      <c r="H162" s="288">
        <f>[5]Druhova!C157</f>
        <v>0</v>
      </c>
      <c r="I162" s="288">
        <f>[5]Druhova!D157</f>
        <v>0</v>
      </c>
      <c r="J162" s="288" t="str">
        <f t="shared" si="4"/>
        <v/>
      </c>
      <c r="K162" s="289" t="str">
        <f t="shared" si="5"/>
        <v/>
      </c>
      <c r="L162" s="260"/>
      <c r="M162" s="260"/>
      <c r="N162" s="260"/>
      <c r="O162" s="260"/>
      <c r="P162" s="260"/>
      <c r="S162" s="261"/>
      <c r="T162" s="261"/>
      <c r="U162" s="261"/>
      <c r="V162" s="261"/>
      <c r="W162" s="261"/>
      <c r="X162" s="261"/>
      <c r="Y162" s="261"/>
      <c r="Z162" s="261"/>
      <c r="AA162" s="261"/>
      <c r="AB162" s="261"/>
    </row>
    <row r="163" spans="1:28">
      <c r="A163" s="1065"/>
      <c r="B163" s="1070"/>
      <c r="C163" s="1061">
        <v>553</v>
      </c>
      <c r="D163" s="1061"/>
      <c r="E163" s="306" t="s">
        <v>381</v>
      </c>
      <c r="F163" s="288">
        <f>[5]Druhova!G158</f>
        <v>0</v>
      </c>
      <c r="G163" s="288">
        <f>[5]Druhova!B158</f>
        <v>0</v>
      </c>
      <c r="H163" s="288">
        <f>[5]Druhova!C158</f>
        <v>100000</v>
      </c>
      <c r="I163" s="288">
        <f>[5]Druhova!D158</f>
        <v>100000</v>
      </c>
      <c r="J163" s="288">
        <f t="shared" si="4"/>
        <v>100</v>
      </c>
      <c r="K163" s="289" t="str">
        <f t="shared" si="5"/>
        <v/>
      </c>
      <c r="L163" s="260"/>
      <c r="M163" s="260"/>
      <c r="N163" s="260"/>
      <c r="O163" s="260"/>
      <c r="P163" s="260"/>
      <c r="S163" s="261"/>
      <c r="T163" s="261"/>
      <c r="U163" s="261"/>
      <c r="V163" s="261"/>
      <c r="W163" s="261"/>
      <c r="X163" s="261"/>
      <c r="Y163" s="261"/>
      <c r="Z163" s="261"/>
      <c r="AA163" s="261"/>
      <c r="AB163" s="261"/>
    </row>
    <row r="164" spans="1:28">
      <c r="A164" s="1065"/>
      <c r="B164" s="1070">
        <v>55</v>
      </c>
      <c r="C164" s="1061"/>
      <c r="D164" s="1070"/>
      <c r="E164" s="307" t="s">
        <v>382</v>
      </c>
      <c r="F164" s="291">
        <f>[5]Druhova!G159</f>
        <v>15010.790370000001</v>
      </c>
      <c r="G164" s="291">
        <f>[5]Druhova!B159</f>
        <v>9154</v>
      </c>
      <c r="H164" s="291">
        <f>[5]Druhova!C159</f>
        <v>112496.79678</v>
      </c>
      <c r="I164" s="291">
        <f>[5]Druhova!D159</f>
        <v>113968.58762999999</v>
      </c>
      <c r="J164" s="291">
        <f t="shared" si="4"/>
        <v>101.30829578452642</v>
      </c>
      <c r="K164" s="292">
        <f t="shared" si="5"/>
        <v>759.24441565564268</v>
      </c>
      <c r="L164" s="260"/>
      <c r="M164" s="260"/>
      <c r="N164" s="260"/>
      <c r="O164" s="260"/>
      <c r="P164" s="260"/>
      <c r="S164" s="261"/>
      <c r="T164" s="261"/>
      <c r="U164" s="261"/>
      <c r="V164" s="261"/>
      <c r="W164" s="261"/>
      <c r="X164" s="261"/>
      <c r="Y164" s="261"/>
      <c r="Z164" s="261"/>
      <c r="AA164" s="261"/>
      <c r="AB164" s="261"/>
    </row>
    <row r="165" spans="1:28" ht="24.2" customHeight="1">
      <c r="A165" s="1065"/>
      <c r="B165" s="1070"/>
      <c r="C165" s="1061">
        <v>561</v>
      </c>
      <c r="D165" s="1061"/>
      <c r="E165" s="306" t="s">
        <v>383</v>
      </c>
      <c r="F165" s="288">
        <f>[5]Druhova!G160</f>
        <v>0</v>
      </c>
      <c r="G165" s="288">
        <f>[5]Druhova!B160</f>
        <v>0</v>
      </c>
      <c r="H165" s="288">
        <f>[5]Druhova!C160</f>
        <v>0</v>
      </c>
      <c r="I165" s="288">
        <f>[5]Druhova!D160</f>
        <v>0</v>
      </c>
      <c r="J165" s="288" t="str">
        <f t="shared" si="4"/>
        <v/>
      </c>
      <c r="K165" s="289" t="str">
        <f t="shared" si="5"/>
        <v/>
      </c>
      <c r="L165" s="260"/>
      <c r="M165" s="260"/>
      <c r="N165" s="260"/>
      <c r="O165" s="260"/>
      <c r="P165" s="260"/>
      <c r="S165" s="261"/>
      <c r="T165" s="261"/>
      <c r="U165" s="261"/>
      <c r="V165" s="261"/>
      <c r="W165" s="261"/>
      <c r="X165" s="261"/>
      <c r="Y165" s="261"/>
      <c r="Z165" s="261"/>
      <c r="AA165" s="261"/>
      <c r="AB165" s="261"/>
    </row>
    <row r="166" spans="1:28" ht="22.5" customHeight="1">
      <c r="A166" s="1065"/>
      <c r="B166" s="1070"/>
      <c r="C166" s="1061">
        <v>562</v>
      </c>
      <c r="D166" s="1061"/>
      <c r="E166" s="306" t="s">
        <v>384</v>
      </c>
      <c r="F166" s="288">
        <f>[5]Druhova!G161</f>
        <v>0</v>
      </c>
      <c r="G166" s="288">
        <f>[5]Druhova!B161</f>
        <v>0</v>
      </c>
      <c r="H166" s="288">
        <f>[5]Druhova!C161</f>
        <v>0</v>
      </c>
      <c r="I166" s="288">
        <f>[5]Druhova!D161</f>
        <v>0</v>
      </c>
      <c r="J166" s="288" t="str">
        <f t="shared" si="4"/>
        <v/>
      </c>
      <c r="K166" s="289" t="str">
        <f t="shared" si="5"/>
        <v/>
      </c>
      <c r="L166" s="260"/>
      <c r="M166" s="260"/>
      <c r="N166" s="260"/>
      <c r="O166" s="260"/>
      <c r="P166" s="260"/>
      <c r="S166" s="261"/>
      <c r="T166" s="261"/>
      <c r="U166" s="261"/>
      <c r="V166" s="261"/>
      <c r="W166" s="261"/>
      <c r="X166" s="261"/>
      <c r="Y166" s="261"/>
      <c r="Z166" s="261"/>
      <c r="AA166" s="261"/>
      <c r="AB166" s="261"/>
    </row>
    <row r="167" spans="1:28" ht="22.5" customHeight="1">
      <c r="A167" s="1065"/>
      <c r="B167" s="1070"/>
      <c r="C167" s="1061">
        <v>563</v>
      </c>
      <c r="D167" s="1061"/>
      <c r="E167" s="306" t="s">
        <v>385</v>
      </c>
      <c r="F167" s="288">
        <f>[5]Druhova!G162</f>
        <v>0</v>
      </c>
      <c r="G167" s="288">
        <f>[5]Druhova!B162</f>
        <v>0</v>
      </c>
      <c r="H167" s="288">
        <f>[5]Druhova!C162</f>
        <v>0</v>
      </c>
      <c r="I167" s="288">
        <f>[5]Druhova!D162</f>
        <v>0</v>
      </c>
      <c r="J167" s="288" t="str">
        <f t="shared" si="4"/>
        <v/>
      </c>
      <c r="K167" s="289" t="str">
        <f t="shared" si="5"/>
        <v/>
      </c>
      <c r="L167" s="260"/>
      <c r="M167" s="260"/>
      <c r="N167" s="260"/>
      <c r="O167" s="260"/>
      <c r="P167" s="260"/>
      <c r="S167" s="261"/>
      <c r="T167" s="261"/>
      <c r="U167" s="261"/>
      <c r="V167" s="261"/>
      <c r="W167" s="261"/>
      <c r="X167" s="261"/>
      <c r="Y167" s="261"/>
      <c r="Z167" s="261"/>
      <c r="AA167" s="261"/>
      <c r="AB167" s="261"/>
    </row>
    <row r="168" spans="1:28" ht="22.5">
      <c r="A168" s="1065"/>
      <c r="B168" s="1070"/>
      <c r="C168" s="1061">
        <v>564</v>
      </c>
      <c r="D168" s="1061"/>
      <c r="E168" s="306" t="s">
        <v>386</v>
      </c>
      <c r="F168" s="288">
        <f>[5]Druhova!G163</f>
        <v>0</v>
      </c>
      <c r="G168" s="288">
        <f>[5]Druhova!B163</f>
        <v>0</v>
      </c>
      <c r="H168" s="288">
        <f>[5]Druhova!C163</f>
        <v>0</v>
      </c>
      <c r="I168" s="288">
        <f>[5]Druhova!D163</f>
        <v>0</v>
      </c>
      <c r="J168" s="288" t="str">
        <f t="shared" si="4"/>
        <v/>
      </c>
      <c r="K168" s="289" t="str">
        <f t="shared" si="5"/>
        <v/>
      </c>
      <c r="L168" s="260"/>
      <c r="M168" s="260"/>
      <c r="N168" s="260"/>
      <c r="O168" s="260"/>
      <c r="P168" s="260"/>
      <c r="S168" s="261"/>
      <c r="T168" s="261"/>
      <c r="U168" s="261"/>
      <c r="V168" s="261"/>
      <c r="W168" s="261"/>
      <c r="X168" s="261"/>
      <c r="Y168" s="261"/>
      <c r="Z168" s="261"/>
      <c r="AA168" s="261"/>
      <c r="AB168" s="261"/>
    </row>
    <row r="169" spans="1:28" s="286" customFormat="1" ht="22.5" customHeight="1">
      <c r="A169" s="1065"/>
      <c r="B169" s="1070"/>
      <c r="C169" s="1061">
        <v>565</v>
      </c>
      <c r="D169" s="1061"/>
      <c r="E169" s="306" t="s">
        <v>387</v>
      </c>
      <c r="F169" s="288">
        <f>[5]Druhova!G164</f>
        <v>0</v>
      </c>
      <c r="G169" s="288">
        <f>[5]Druhova!B164</f>
        <v>0</v>
      </c>
      <c r="H169" s="288">
        <f>[5]Druhova!C164</f>
        <v>0</v>
      </c>
      <c r="I169" s="288">
        <f>[5]Druhova!D164</f>
        <v>0</v>
      </c>
      <c r="J169" s="288" t="str">
        <f t="shared" si="4"/>
        <v/>
      </c>
      <c r="K169" s="289" t="str">
        <f t="shared" si="5"/>
        <v/>
      </c>
      <c r="L169" s="285"/>
      <c r="M169" s="285"/>
      <c r="N169" s="285"/>
      <c r="O169" s="285"/>
      <c r="P169" s="285"/>
      <c r="Q169" s="285"/>
      <c r="R169" s="285"/>
    </row>
    <row r="170" spans="1:28">
      <c r="A170" s="1065"/>
      <c r="B170" s="1070"/>
      <c r="C170" s="1061">
        <v>566</v>
      </c>
      <c r="D170" s="1061"/>
      <c r="E170" s="306" t="s">
        <v>388</v>
      </c>
      <c r="F170" s="288">
        <f>[5]Druhova!G165</f>
        <v>0</v>
      </c>
      <c r="G170" s="288">
        <f>[5]Druhova!B165</f>
        <v>0</v>
      </c>
      <c r="H170" s="288">
        <f>[5]Druhova!C165</f>
        <v>0</v>
      </c>
      <c r="I170" s="288">
        <f>[5]Druhova!D165</f>
        <v>0</v>
      </c>
      <c r="J170" s="288" t="str">
        <f t="shared" si="4"/>
        <v/>
      </c>
      <c r="K170" s="289" t="str">
        <f t="shared" si="5"/>
        <v/>
      </c>
      <c r="L170" s="260"/>
      <c r="M170" s="260"/>
      <c r="N170" s="260"/>
      <c r="O170" s="260"/>
      <c r="P170" s="260"/>
      <c r="S170" s="261"/>
      <c r="T170" s="261"/>
      <c r="U170" s="261"/>
      <c r="V170" s="261"/>
      <c r="W170" s="261"/>
      <c r="X170" s="261"/>
      <c r="Y170" s="261"/>
      <c r="Z170" s="261"/>
      <c r="AA170" s="261"/>
      <c r="AB170" s="261"/>
    </row>
    <row r="171" spans="1:28">
      <c r="A171" s="1065"/>
      <c r="B171" s="1070"/>
      <c r="C171" s="1061">
        <v>567</v>
      </c>
      <c r="D171" s="1061"/>
      <c r="E171" s="306" t="s">
        <v>389</v>
      </c>
      <c r="F171" s="288">
        <f>[5]Druhova!G166</f>
        <v>0</v>
      </c>
      <c r="G171" s="288">
        <f>[5]Druhova!B166</f>
        <v>0</v>
      </c>
      <c r="H171" s="288">
        <f>[5]Druhova!C166</f>
        <v>0</v>
      </c>
      <c r="I171" s="288">
        <f>[5]Druhova!D166</f>
        <v>0</v>
      </c>
      <c r="J171" s="288" t="str">
        <f t="shared" si="4"/>
        <v/>
      </c>
      <c r="K171" s="289" t="str">
        <f t="shared" si="5"/>
        <v/>
      </c>
      <c r="L171" s="260"/>
      <c r="M171" s="260"/>
      <c r="N171" s="260"/>
      <c r="O171" s="260"/>
      <c r="P171" s="260"/>
      <c r="S171" s="261"/>
      <c r="T171" s="261"/>
      <c r="U171" s="261"/>
      <c r="V171" s="261"/>
      <c r="W171" s="261"/>
      <c r="X171" s="261"/>
      <c r="Y171" s="261"/>
      <c r="Z171" s="261"/>
      <c r="AA171" s="261"/>
      <c r="AB171" s="261"/>
    </row>
    <row r="172" spans="1:28">
      <c r="A172" s="1065"/>
      <c r="B172" s="1070">
        <v>56</v>
      </c>
      <c r="C172" s="1061"/>
      <c r="D172" s="1070"/>
      <c r="E172" s="307" t="s">
        <v>390</v>
      </c>
      <c r="F172" s="291">
        <f>[5]Druhova!G167</f>
        <v>0</v>
      </c>
      <c r="G172" s="291">
        <f>[5]Druhova!B167</f>
        <v>0</v>
      </c>
      <c r="H172" s="291">
        <f>[5]Druhova!C167</f>
        <v>0</v>
      </c>
      <c r="I172" s="291">
        <f>[5]Druhova!D167</f>
        <v>0</v>
      </c>
      <c r="J172" s="291" t="str">
        <f t="shared" si="4"/>
        <v/>
      </c>
      <c r="K172" s="292" t="str">
        <f t="shared" si="5"/>
        <v/>
      </c>
      <c r="L172" s="260"/>
      <c r="M172" s="260"/>
      <c r="N172" s="260"/>
      <c r="O172" s="260"/>
      <c r="P172" s="260"/>
      <c r="S172" s="261"/>
      <c r="T172" s="261"/>
      <c r="U172" s="261"/>
      <c r="V172" s="261"/>
      <c r="W172" s="261"/>
      <c r="X172" s="261"/>
      <c r="Y172" s="261"/>
      <c r="Z172" s="261"/>
      <c r="AA172" s="261"/>
      <c r="AB172" s="261"/>
    </row>
    <row r="173" spans="1:28" s="286" customFormat="1" ht="24.2" customHeight="1">
      <c r="A173" s="1065"/>
      <c r="B173" s="1070"/>
      <c r="C173" s="1061">
        <v>571</v>
      </c>
      <c r="D173" s="1061"/>
      <c r="E173" s="306" t="s">
        <v>391</v>
      </c>
      <c r="F173" s="288">
        <f>[5]Druhova!G168</f>
        <v>0</v>
      </c>
      <c r="G173" s="288">
        <f>[5]Druhova!B168</f>
        <v>0</v>
      </c>
      <c r="H173" s="288">
        <f>[5]Druhova!C168</f>
        <v>0</v>
      </c>
      <c r="I173" s="288">
        <f>[5]Druhova!D168</f>
        <v>0</v>
      </c>
      <c r="J173" s="288" t="str">
        <f t="shared" si="4"/>
        <v/>
      </c>
      <c r="K173" s="289" t="str">
        <f t="shared" si="5"/>
        <v/>
      </c>
      <c r="L173" s="285"/>
      <c r="M173" s="285"/>
      <c r="N173" s="285"/>
      <c r="O173" s="285"/>
      <c r="P173" s="285"/>
      <c r="Q173" s="285"/>
      <c r="R173" s="285"/>
    </row>
    <row r="174" spans="1:28" ht="22.5" customHeight="1">
      <c r="A174" s="1065"/>
      <c r="B174" s="1070"/>
      <c r="C174" s="1061">
        <v>572</v>
      </c>
      <c r="D174" s="1061"/>
      <c r="E174" s="306" t="s">
        <v>392</v>
      </c>
      <c r="F174" s="288">
        <f>[5]Druhova!G169</f>
        <v>0</v>
      </c>
      <c r="G174" s="288">
        <f>[5]Druhova!B169</f>
        <v>0</v>
      </c>
      <c r="H174" s="288">
        <f>[5]Druhova!C169</f>
        <v>0</v>
      </c>
      <c r="I174" s="288">
        <f>[5]Druhova!D169</f>
        <v>0</v>
      </c>
      <c r="J174" s="288" t="str">
        <f t="shared" si="4"/>
        <v/>
      </c>
      <c r="K174" s="289" t="str">
        <f t="shared" si="5"/>
        <v/>
      </c>
      <c r="L174" s="260"/>
      <c r="M174" s="260"/>
      <c r="N174" s="260"/>
      <c r="O174" s="260"/>
      <c r="P174" s="260"/>
      <c r="S174" s="261"/>
      <c r="T174" s="261"/>
      <c r="U174" s="261"/>
      <c r="V174" s="261"/>
      <c r="W174" s="261"/>
      <c r="X174" s="261"/>
      <c r="Y174" s="261"/>
      <c r="Z174" s="261"/>
      <c r="AA174" s="261"/>
      <c r="AB174" s="261"/>
    </row>
    <row r="175" spans="1:28" ht="22.5" customHeight="1">
      <c r="A175" s="1065"/>
      <c r="B175" s="1070"/>
      <c r="C175" s="1061">
        <v>573</v>
      </c>
      <c r="D175" s="1061"/>
      <c r="E175" s="306" t="s">
        <v>393</v>
      </c>
      <c r="F175" s="288">
        <f>[5]Druhova!G170</f>
        <v>0</v>
      </c>
      <c r="G175" s="288">
        <f>[5]Druhova!B170</f>
        <v>0</v>
      </c>
      <c r="H175" s="288">
        <f>[5]Druhova!C170</f>
        <v>0</v>
      </c>
      <c r="I175" s="288">
        <f>[5]Druhova!D170</f>
        <v>0</v>
      </c>
      <c r="J175" s="288" t="str">
        <f t="shared" si="4"/>
        <v/>
      </c>
      <c r="K175" s="289" t="str">
        <f t="shared" si="5"/>
        <v/>
      </c>
      <c r="L175" s="260"/>
      <c r="M175" s="260"/>
      <c r="N175" s="260"/>
      <c r="O175" s="260"/>
      <c r="P175" s="260"/>
      <c r="S175" s="261"/>
      <c r="T175" s="261"/>
      <c r="U175" s="261"/>
      <c r="V175" s="261"/>
      <c r="W175" s="261"/>
      <c r="X175" s="261"/>
      <c r="Y175" s="261"/>
      <c r="Z175" s="261"/>
      <c r="AA175" s="261"/>
      <c r="AB175" s="261"/>
    </row>
    <row r="176" spans="1:28" ht="22.5" customHeight="1">
      <c r="A176" s="1065"/>
      <c r="B176" s="1070"/>
      <c r="C176" s="1061">
        <v>574</v>
      </c>
      <c r="D176" s="1061"/>
      <c r="E176" s="306" t="s">
        <v>394</v>
      </c>
      <c r="F176" s="288">
        <f>[5]Druhova!G171</f>
        <v>0</v>
      </c>
      <c r="G176" s="288">
        <f>[5]Druhova!B171</f>
        <v>0</v>
      </c>
      <c r="H176" s="288">
        <f>[5]Druhova!C171</f>
        <v>0</v>
      </c>
      <c r="I176" s="288">
        <f>[5]Druhova!D171</f>
        <v>0</v>
      </c>
      <c r="J176" s="288" t="str">
        <f t="shared" si="4"/>
        <v/>
      </c>
      <c r="K176" s="289" t="str">
        <f t="shared" si="5"/>
        <v/>
      </c>
      <c r="L176" s="260"/>
      <c r="M176" s="260"/>
      <c r="N176" s="260"/>
      <c r="O176" s="260"/>
      <c r="P176" s="260"/>
      <c r="S176" s="261"/>
      <c r="T176" s="261"/>
      <c r="U176" s="261"/>
      <c r="V176" s="261"/>
      <c r="W176" s="261"/>
      <c r="X176" s="261"/>
      <c r="Y176" s="261"/>
      <c r="Z176" s="261"/>
      <c r="AA176" s="261"/>
      <c r="AB176" s="261"/>
    </row>
    <row r="177" spans="1:28" ht="22.5" customHeight="1">
      <c r="A177" s="1065"/>
      <c r="B177" s="1070"/>
      <c r="C177" s="1061">
        <v>575</v>
      </c>
      <c r="D177" s="1061"/>
      <c r="E177" s="306" t="s">
        <v>395</v>
      </c>
      <c r="F177" s="288">
        <f>[5]Druhova!G172</f>
        <v>0</v>
      </c>
      <c r="G177" s="288">
        <f>[5]Druhova!B172</f>
        <v>0</v>
      </c>
      <c r="H177" s="288">
        <f>[5]Druhova!C172</f>
        <v>0</v>
      </c>
      <c r="I177" s="288">
        <f>[5]Druhova!D172</f>
        <v>0</v>
      </c>
      <c r="J177" s="288" t="str">
        <f t="shared" si="4"/>
        <v/>
      </c>
      <c r="K177" s="289" t="str">
        <f t="shared" si="5"/>
        <v/>
      </c>
      <c r="L177" s="260"/>
      <c r="M177" s="260"/>
      <c r="N177" s="260"/>
      <c r="O177" s="260"/>
      <c r="P177" s="260"/>
      <c r="S177" s="261"/>
      <c r="T177" s="261"/>
      <c r="U177" s="261"/>
      <c r="V177" s="261"/>
      <c r="W177" s="261"/>
      <c r="X177" s="261"/>
      <c r="Y177" s="261"/>
      <c r="Z177" s="261"/>
      <c r="AA177" s="261"/>
      <c r="AB177" s="261"/>
    </row>
    <row r="178" spans="1:28" ht="22.5" customHeight="1">
      <c r="A178" s="1065"/>
      <c r="B178" s="1070"/>
      <c r="C178" s="1061">
        <v>576</v>
      </c>
      <c r="D178" s="1061"/>
      <c r="E178" s="306" t="s">
        <v>396</v>
      </c>
      <c r="F178" s="288">
        <f>[5]Druhova!G173</f>
        <v>0</v>
      </c>
      <c r="G178" s="288">
        <f>[5]Druhova!B173</f>
        <v>0</v>
      </c>
      <c r="H178" s="288">
        <f>[5]Druhova!C173</f>
        <v>0</v>
      </c>
      <c r="I178" s="288">
        <f>[5]Druhova!D173</f>
        <v>0</v>
      </c>
      <c r="J178" s="288" t="str">
        <f t="shared" si="4"/>
        <v/>
      </c>
      <c r="K178" s="289" t="str">
        <f t="shared" si="5"/>
        <v/>
      </c>
      <c r="L178" s="260"/>
      <c r="M178" s="260"/>
      <c r="N178" s="260"/>
      <c r="O178" s="260"/>
      <c r="P178" s="260"/>
      <c r="S178" s="261"/>
      <c r="T178" s="261"/>
      <c r="U178" s="261"/>
      <c r="V178" s="261"/>
      <c r="W178" s="261"/>
      <c r="X178" s="261"/>
      <c r="Y178" s="261"/>
      <c r="Z178" s="261"/>
      <c r="AA178" s="261"/>
      <c r="AB178" s="261"/>
    </row>
    <row r="179" spans="1:28" ht="22.5" customHeight="1">
      <c r="A179" s="1065"/>
      <c r="B179" s="1070"/>
      <c r="C179" s="1061">
        <v>577</v>
      </c>
      <c r="D179" s="1061"/>
      <c r="E179" s="306" t="s">
        <v>397</v>
      </c>
      <c r="F179" s="288">
        <f>[5]Druhova!G174</f>
        <v>0</v>
      </c>
      <c r="G179" s="288">
        <f>[5]Druhova!B174</f>
        <v>0</v>
      </c>
      <c r="H179" s="288">
        <f>[5]Druhova!C174</f>
        <v>0</v>
      </c>
      <c r="I179" s="288">
        <f>[5]Druhova!D174</f>
        <v>0</v>
      </c>
      <c r="J179" s="288" t="str">
        <f t="shared" si="4"/>
        <v/>
      </c>
      <c r="K179" s="289" t="str">
        <f t="shared" si="5"/>
        <v/>
      </c>
      <c r="L179" s="260"/>
      <c r="M179" s="260"/>
      <c r="N179" s="260"/>
      <c r="O179" s="260"/>
      <c r="P179" s="260"/>
      <c r="S179" s="261"/>
      <c r="T179" s="261"/>
      <c r="U179" s="261"/>
      <c r="V179" s="261"/>
      <c r="W179" s="261"/>
      <c r="X179" s="261"/>
      <c r="Y179" s="261"/>
      <c r="Z179" s="261"/>
      <c r="AA179" s="261"/>
      <c r="AB179" s="261"/>
    </row>
    <row r="180" spans="1:28">
      <c r="A180" s="1065"/>
      <c r="B180" s="1070"/>
      <c r="C180" s="1061">
        <v>579</v>
      </c>
      <c r="D180" s="1061"/>
      <c r="E180" s="306" t="s">
        <v>398</v>
      </c>
      <c r="F180" s="288">
        <f>[5]Druhova!G175</f>
        <v>0</v>
      </c>
      <c r="G180" s="288">
        <f>[5]Druhova!B175</f>
        <v>0</v>
      </c>
      <c r="H180" s="288">
        <f>[5]Druhova!C175</f>
        <v>0</v>
      </c>
      <c r="I180" s="288">
        <f>[5]Druhova!D175</f>
        <v>0</v>
      </c>
      <c r="J180" s="288" t="str">
        <f t="shared" si="4"/>
        <v/>
      </c>
      <c r="K180" s="289" t="str">
        <f t="shared" si="5"/>
        <v/>
      </c>
      <c r="L180" s="260"/>
      <c r="M180" s="260"/>
      <c r="N180" s="260"/>
      <c r="O180" s="260"/>
      <c r="P180" s="260"/>
      <c r="S180" s="261"/>
      <c r="T180" s="261"/>
      <c r="U180" s="261"/>
      <c r="V180" s="261"/>
      <c r="W180" s="261"/>
      <c r="X180" s="261"/>
      <c r="Y180" s="261"/>
      <c r="Z180" s="261"/>
      <c r="AA180" s="261"/>
      <c r="AB180" s="261"/>
    </row>
    <row r="181" spans="1:28" ht="17.45" customHeight="1">
      <c r="A181" s="1065"/>
      <c r="B181" s="1070">
        <v>57</v>
      </c>
      <c r="C181" s="1061"/>
      <c r="D181" s="1070"/>
      <c r="E181" s="307" t="s">
        <v>399</v>
      </c>
      <c r="F181" s="291">
        <f>[5]Druhova!G176</f>
        <v>0</v>
      </c>
      <c r="G181" s="291">
        <f>[5]Druhova!B176</f>
        <v>0</v>
      </c>
      <c r="H181" s="291">
        <f>[5]Druhova!C176</f>
        <v>0</v>
      </c>
      <c r="I181" s="291">
        <f>[5]Druhova!D176</f>
        <v>0</v>
      </c>
      <c r="J181" s="291" t="str">
        <f t="shared" si="4"/>
        <v/>
      </c>
      <c r="K181" s="292" t="str">
        <f t="shared" si="5"/>
        <v/>
      </c>
      <c r="L181" s="260"/>
      <c r="M181" s="260"/>
      <c r="N181" s="260"/>
      <c r="O181" s="260"/>
      <c r="P181" s="260"/>
      <c r="S181" s="261"/>
      <c r="T181" s="261"/>
      <c r="U181" s="261"/>
      <c r="V181" s="261"/>
      <c r="W181" s="261"/>
      <c r="X181" s="261"/>
      <c r="Y181" s="261"/>
      <c r="Z181" s="261"/>
      <c r="AA181" s="261"/>
      <c r="AB181" s="261"/>
    </row>
    <row r="182" spans="1:28" s="286" customFormat="1" ht="18" customHeight="1">
      <c r="A182" s="1065"/>
      <c r="B182" s="1070"/>
      <c r="C182" s="1061">
        <v>590</v>
      </c>
      <c r="D182" s="1061"/>
      <c r="E182" s="306" t="s">
        <v>400</v>
      </c>
      <c r="F182" s="288">
        <f>[5]Druhova!G177</f>
        <v>127387.40598</v>
      </c>
      <c r="G182" s="288">
        <f>[5]Druhova!B177</f>
        <v>41914.379999999997</v>
      </c>
      <c r="H182" s="288">
        <f>[5]Druhova!C177</f>
        <v>85337.539220000006</v>
      </c>
      <c r="I182" s="288">
        <f>[5]Druhova!D177</f>
        <v>70029.884579999998</v>
      </c>
      <c r="J182" s="288">
        <f t="shared" si="4"/>
        <v>82.062226330973871</v>
      </c>
      <c r="K182" s="289">
        <f t="shared" si="5"/>
        <v>54.973946632522519</v>
      </c>
      <c r="L182" s="285"/>
      <c r="M182" s="285"/>
      <c r="N182" s="285"/>
      <c r="O182" s="285"/>
      <c r="P182" s="285"/>
      <c r="Q182" s="285"/>
      <c r="R182" s="285"/>
    </row>
    <row r="183" spans="1:28" ht="17.45" customHeight="1" thickBot="1">
      <c r="A183" s="1065"/>
      <c r="B183" s="1070">
        <v>59</v>
      </c>
      <c r="C183" s="1102"/>
      <c r="D183" s="1070"/>
      <c r="E183" s="307" t="s">
        <v>400</v>
      </c>
      <c r="F183" s="315">
        <f>[5]Druhova!G178</f>
        <v>127387.40598</v>
      </c>
      <c r="G183" s="315">
        <f>[5]Druhova!B178</f>
        <v>41914.379999999997</v>
      </c>
      <c r="H183" s="315">
        <f>[5]Druhova!C178</f>
        <v>85337.539220000006</v>
      </c>
      <c r="I183" s="315">
        <f>[5]Druhova!D178</f>
        <v>70029.884579999998</v>
      </c>
      <c r="J183" s="296">
        <f t="shared" si="4"/>
        <v>82.062226330973871</v>
      </c>
      <c r="K183" s="297">
        <f t="shared" si="5"/>
        <v>54.973946632522519</v>
      </c>
      <c r="L183" s="260"/>
      <c r="M183" s="260"/>
      <c r="N183" s="260"/>
      <c r="O183" s="260"/>
      <c r="P183" s="260"/>
      <c r="S183" s="261"/>
      <c r="T183" s="261"/>
      <c r="U183" s="261"/>
      <c r="V183" s="261"/>
      <c r="W183" s="261"/>
      <c r="X183" s="261"/>
      <c r="Y183" s="261"/>
      <c r="Z183" s="261"/>
      <c r="AA183" s="261"/>
      <c r="AB183" s="261"/>
    </row>
    <row r="184" spans="1:28" ht="30" customHeight="1" thickBot="1">
      <c r="A184" s="1075">
        <v>5</v>
      </c>
      <c r="B184" s="1076"/>
      <c r="C184" s="1103"/>
      <c r="D184" s="1076"/>
      <c r="E184" s="1131" t="s">
        <v>401</v>
      </c>
      <c r="F184" s="304">
        <f>[5]Druhova!G179</f>
        <v>53197442.290109999</v>
      </c>
      <c r="G184" s="301">
        <f>[5]Druhova!B179</f>
        <v>53324912.978</v>
      </c>
      <c r="H184" s="301">
        <f>[5]Druhova!C179</f>
        <v>54917814.137139998</v>
      </c>
      <c r="I184" s="301">
        <f>[5]Druhova!D179</f>
        <v>55608988.02132</v>
      </c>
      <c r="J184" s="301">
        <f t="shared" si="4"/>
        <v>101.25856044170661</v>
      </c>
      <c r="K184" s="302">
        <f t="shared" si="5"/>
        <v>104.53319864150374</v>
      </c>
      <c r="L184" s="260"/>
      <c r="M184" s="260"/>
      <c r="N184" s="260"/>
      <c r="O184" s="260"/>
      <c r="P184" s="260"/>
      <c r="S184" s="261"/>
      <c r="T184" s="261"/>
      <c r="U184" s="261"/>
      <c r="V184" s="261"/>
      <c r="W184" s="261"/>
      <c r="X184" s="261"/>
      <c r="Y184" s="261"/>
      <c r="Z184" s="261"/>
      <c r="AA184" s="261"/>
      <c r="AB184" s="261"/>
    </row>
    <row r="185" spans="1:28">
      <c r="A185" s="1065"/>
      <c r="B185" s="1070"/>
      <c r="C185" s="1061">
        <v>611</v>
      </c>
      <c r="D185" s="1061"/>
      <c r="E185" s="306" t="s">
        <v>402</v>
      </c>
      <c r="F185" s="288">
        <f>[5]Druhova!G180</f>
        <v>398017.00903999998</v>
      </c>
      <c r="G185" s="288">
        <f>[5]Druhova!B180</f>
        <v>184788.079</v>
      </c>
      <c r="H185" s="288">
        <f>[5]Druhova!C180</f>
        <v>491972.43930000003</v>
      </c>
      <c r="I185" s="288">
        <f>[5]Druhova!D180</f>
        <v>776276.71406000003</v>
      </c>
      <c r="J185" s="288">
        <f t="shared" si="4"/>
        <v>157.78865888595723</v>
      </c>
      <c r="K185" s="289">
        <f t="shared" si="5"/>
        <v>195.03606540141246</v>
      </c>
      <c r="L185" s="260"/>
      <c r="M185" s="260"/>
      <c r="N185" s="260"/>
      <c r="O185" s="260"/>
      <c r="P185" s="260"/>
      <c r="S185" s="261"/>
      <c r="T185" s="261"/>
      <c r="U185" s="261"/>
      <c r="V185" s="261"/>
      <c r="W185" s="261"/>
      <c r="X185" s="261"/>
      <c r="Y185" s="261"/>
      <c r="Z185" s="261"/>
      <c r="AA185" s="261"/>
      <c r="AB185" s="261"/>
    </row>
    <row r="186" spans="1:28">
      <c r="A186" s="1065"/>
      <c r="B186" s="1070"/>
      <c r="C186" s="1061">
        <v>612</v>
      </c>
      <c r="D186" s="1061"/>
      <c r="E186" s="306" t="s">
        <v>403</v>
      </c>
      <c r="F186" s="288">
        <f>[5]Druhova!G181</f>
        <v>2167398.6505700001</v>
      </c>
      <c r="G186" s="288">
        <f>[5]Druhova!B181</f>
        <v>1293180.6040000001</v>
      </c>
      <c r="H186" s="288">
        <f>[5]Druhova!C181</f>
        <v>4642840.4110000003</v>
      </c>
      <c r="I186" s="288">
        <f>[5]Druhova!D181</f>
        <v>6330509.8414099999</v>
      </c>
      <c r="J186" s="288">
        <f t="shared" si="4"/>
        <v>136.34993411385639</v>
      </c>
      <c r="K186" s="289">
        <f t="shared" si="5"/>
        <v>292.07870179974276</v>
      </c>
      <c r="L186" s="260"/>
      <c r="M186" s="260"/>
      <c r="N186" s="260"/>
      <c r="O186" s="260"/>
      <c r="P186" s="260"/>
      <c r="S186" s="261"/>
      <c r="T186" s="261"/>
      <c r="U186" s="261"/>
      <c r="V186" s="261"/>
      <c r="W186" s="261"/>
      <c r="X186" s="261"/>
      <c r="Y186" s="261"/>
      <c r="Z186" s="261"/>
      <c r="AA186" s="261"/>
      <c r="AB186" s="261"/>
    </row>
    <row r="187" spans="1:28">
      <c r="A187" s="1065"/>
      <c r="B187" s="1070"/>
      <c r="C187" s="1061">
        <v>613</v>
      </c>
      <c r="D187" s="1061"/>
      <c r="E187" s="306" t="s">
        <v>404</v>
      </c>
      <c r="F187" s="288">
        <f>[5]Druhova!G182</f>
        <v>911.02</v>
      </c>
      <c r="G187" s="288">
        <f>[5]Druhova!B182</f>
        <v>0</v>
      </c>
      <c r="H187" s="288">
        <f>[5]Druhova!C182</f>
        <v>30666.041450000001</v>
      </c>
      <c r="I187" s="288">
        <f>[5]Druhova!D182</f>
        <v>30802.4395</v>
      </c>
      <c r="J187" s="288">
        <f t="shared" si="4"/>
        <v>100.44478531806067</v>
      </c>
      <c r="K187" s="289">
        <f t="shared" si="5"/>
        <v>3381.0936642444731</v>
      </c>
      <c r="L187" s="260"/>
      <c r="M187" s="260"/>
      <c r="N187" s="260"/>
      <c r="O187" s="260"/>
      <c r="P187" s="260"/>
      <c r="S187" s="261"/>
      <c r="T187" s="261"/>
      <c r="U187" s="261"/>
      <c r="V187" s="261"/>
      <c r="W187" s="261"/>
      <c r="X187" s="261"/>
      <c r="Y187" s="261"/>
      <c r="Z187" s="261"/>
      <c r="AA187" s="261"/>
      <c r="AB187" s="261"/>
    </row>
    <row r="188" spans="1:28" ht="17.45" customHeight="1">
      <c r="A188" s="1065"/>
      <c r="B188" s="1070">
        <v>61</v>
      </c>
      <c r="C188" s="1061"/>
      <c r="D188" s="1070"/>
      <c r="E188" s="307" t="s">
        <v>405</v>
      </c>
      <c r="F188" s="291">
        <f>[5]Druhova!G183</f>
        <v>2566326.67961</v>
      </c>
      <c r="G188" s="291">
        <f>[5]Druhova!B183</f>
        <v>1477968.683</v>
      </c>
      <c r="H188" s="291">
        <f>[5]Druhova!C183</f>
        <v>5165478.8917500004</v>
      </c>
      <c r="I188" s="291">
        <f>[5]Druhova!D183</f>
        <v>7137588.9949700003</v>
      </c>
      <c r="J188" s="291">
        <f t="shared" si="4"/>
        <v>138.17864992865884</v>
      </c>
      <c r="K188" s="292">
        <f t="shared" si="5"/>
        <v>278.12472401427425</v>
      </c>
      <c r="L188" s="260"/>
      <c r="M188" s="260"/>
      <c r="N188" s="260"/>
      <c r="O188" s="260"/>
      <c r="P188" s="260"/>
      <c r="S188" s="261"/>
      <c r="T188" s="261"/>
      <c r="U188" s="261"/>
      <c r="V188" s="261"/>
      <c r="W188" s="261"/>
      <c r="X188" s="261"/>
      <c r="Y188" s="261"/>
      <c r="Z188" s="261"/>
      <c r="AA188" s="261"/>
      <c r="AB188" s="261"/>
    </row>
    <row r="189" spans="1:28" ht="18" customHeight="1">
      <c r="A189" s="1065"/>
      <c r="B189" s="1070"/>
      <c r="C189" s="1061">
        <v>620</v>
      </c>
      <c r="D189" s="1061"/>
      <c r="E189" s="306" t="s">
        <v>406</v>
      </c>
      <c r="F189" s="288">
        <f>[5]Druhova!G184</f>
        <v>0</v>
      </c>
      <c r="G189" s="288">
        <f>[5]Druhova!B184</f>
        <v>0</v>
      </c>
      <c r="H189" s="288">
        <f>[5]Druhova!C184</f>
        <v>0</v>
      </c>
      <c r="I189" s="288">
        <f>[5]Druhova!D184</f>
        <v>0</v>
      </c>
      <c r="J189" s="288" t="str">
        <f t="shared" si="4"/>
        <v/>
      </c>
      <c r="K189" s="289" t="str">
        <f t="shared" si="5"/>
        <v/>
      </c>
      <c r="L189" s="260"/>
      <c r="M189" s="260"/>
      <c r="N189" s="260"/>
      <c r="O189" s="260"/>
      <c r="P189" s="260"/>
      <c r="S189" s="261"/>
      <c r="T189" s="261"/>
      <c r="U189" s="261"/>
      <c r="V189" s="261"/>
      <c r="W189" s="261"/>
      <c r="X189" s="261"/>
      <c r="Y189" s="261"/>
      <c r="Z189" s="261"/>
      <c r="AA189" s="261"/>
      <c r="AB189" s="261"/>
    </row>
    <row r="190" spans="1:28" ht="17.45" customHeight="1">
      <c r="A190" s="1065"/>
      <c r="B190" s="1070">
        <v>62</v>
      </c>
      <c r="C190" s="1061"/>
      <c r="D190" s="1070"/>
      <c r="E190" s="307" t="s">
        <v>406</v>
      </c>
      <c r="F190" s="291">
        <f>[5]Druhova!G185</f>
        <v>0</v>
      </c>
      <c r="G190" s="291">
        <f>[5]Druhova!B185</f>
        <v>0</v>
      </c>
      <c r="H190" s="291">
        <f>[5]Druhova!C185</f>
        <v>0</v>
      </c>
      <c r="I190" s="291">
        <f>[5]Druhova!D185</f>
        <v>0</v>
      </c>
      <c r="J190" s="291" t="str">
        <f t="shared" si="4"/>
        <v/>
      </c>
      <c r="K190" s="292" t="str">
        <f t="shared" si="5"/>
        <v/>
      </c>
      <c r="L190" s="260"/>
      <c r="M190" s="260"/>
      <c r="N190" s="260"/>
      <c r="O190" s="260"/>
      <c r="P190" s="260"/>
      <c r="S190" s="261"/>
      <c r="T190" s="261"/>
      <c r="U190" s="261"/>
      <c r="V190" s="261"/>
      <c r="W190" s="261"/>
      <c r="X190" s="261"/>
      <c r="Y190" s="261"/>
      <c r="Z190" s="261"/>
      <c r="AA190" s="261"/>
      <c r="AB190" s="261"/>
    </row>
    <row r="191" spans="1:28" s="286" customFormat="1" ht="18" customHeight="1">
      <c r="A191" s="1065"/>
      <c r="B191" s="1070"/>
      <c r="C191" s="1061">
        <v>631</v>
      </c>
      <c r="D191" s="1061"/>
      <c r="E191" s="306" t="s">
        <v>407</v>
      </c>
      <c r="F191" s="288">
        <f>[5]Druhova!G186</f>
        <v>0</v>
      </c>
      <c r="G191" s="288">
        <f>[5]Druhova!B186</f>
        <v>0</v>
      </c>
      <c r="H191" s="288">
        <f>[5]Druhova!C186</f>
        <v>0</v>
      </c>
      <c r="I191" s="288">
        <f>[5]Druhova!D186</f>
        <v>0</v>
      </c>
      <c r="J191" s="288" t="str">
        <f t="shared" si="4"/>
        <v/>
      </c>
      <c r="K191" s="289" t="str">
        <f t="shared" si="5"/>
        <v/>
      </c>
      <c r="L191" s="285"/>
      <c r="M191" s="285"/>
      <c r="N191" s="285"/>
      <c r="O191" s="285"/>
      <c r="P191" s="285"/>
      <c r="Q191" s="285"/>
      <c r="R191" s="285"/>
    </row>
    <row r="192" spans="1:28" s="286" customFormat="1" ht="16.7" customHeight="1">
      <c r="A192" s="1065"/>
      <c r="B192" s="1070"/>
      <c r="C192" s="1061">
        <v>632</v>
      </c>
      <c r="D192" s="1061"/>
      <c r="E192" s="306" t="s">
        <v>408</v>
      </c>
      <c r="F192" s="288">
        <f>[5]Druhova!G187</f>
        <v>0</v>
      </c>
      <c r="G192" s="288">
        <f>[5]Druhova!B187</f>
        <v>0</v>
      </c>
      <c r="H192" s="288">
        <f>[5]Druhova!C187</f>
        <v>0</v>
      </c>
      <c r="I192" s="288">
        <f>[5]Druhova!D187</f>
        <v>0</v>
      </c>
      <c r="J192" s="288" t="str">
        <f t="shared" si="4"/>
        <v/>
      </c>
      <c r="K192" s="289" t="str">
        <f t="shared" si="5"/>
        <v/>
      </c>
      <c r="L192" s="285"/>
      <c r="M192" s="285"/>
      <c r="N192" s="285"/>
      <c r="O192" s="285"/>
      <c r="P192" s="285"/>
      <c r="Q192" s="285"/>
      <c r="R192" s="285"/>
    </row>
    <row r="193" spans="1:28" ht="22.5" customHeight="1">
      <c r="A193" s="1065"/>
      <c r="B193" s="1070"/>
      <c r="C193" s="1061">
        <v>633</v>
      </c>
      <c r="D193" s="1061"/>
      <c r="E193" s="306" t="s">
        <v>409</v>
      </c>
      <c r="F193" s="288">
        <f>[5]Druhova!G188</f>
        <v>0</v>
      </c>
      <c r="G193" s="288">
        <f>[5]Druhova!B188</f>
        <v>0</v>
      </c>
      <c r="H193" s="288">
        <f>[5]Druhova!C188</f>
        <v>0</v>
      </c>
      <c r="I193" s="288">
        <f>[5]Druhova!D188</f>
        <v>0</v>
      </c>
      <c r="J193" s="288" t="str">
        <f t="shared" si="4"/>
        <v/>
      </c>
      <c r="K193" s="289" t="str">
        <f t="shared" si="5"/>
        <v/>
      </c>
      <c r="L193" s="260"/>
      <c r="M193" s="260"/>
      <c r="N193" s="260"/>
      <c r="O193" s="260"/>
      <c r="P193" s="260"/>
      <c r="S193" s="261"/>
      <c r="T193" s="261"/>
      <c r="U193" s="261"/>
      <c r="V193" s="261"/>
      <c r="W193" s="261"/>
      <c r="X193" s="261"/>
      <c r="Y193" s="261"/>
      <c r="Z193" s="261"/>
      <c r="AA193" s="261"/>
      <c r="AB193" s="261"/>
    </row>
    <row r="194" spans="1:28" ht="22.5">
      <c r="A194" s="1099"/>
      <c r="B194" s="1100"/>
      <c r="C194" s="1061"/>
      <c r="D194" s="1101">
        <v>6335</v>
      </c>
      <c r="E194" s="306" t="s">
        <v>410</v>
      </c>
      <c r="F194" s="288">
        <f>[5]Druhova!G189</f>
        <v>0</v>
      </c>
      <c r="G194" s="288">
        <f>[5]Druhova!B189</f>
        <v>0</v>
      </c>
      <c r="H194" s="288">
        <f>[5]Druhova!C189</f>
        <v>0</v>
      </c>
      <c r="I194" s="288">
        <f>[5]Druhova!D189</f>
        <v>0</v>
      </c>
      <c r="J194" s="288" t="str">
        <f t="shared" si="4"/>
        <v/>
      </c>
      <c r="K194" s="289" t="str">
        <f t="shared" si="5"/>
        <v/>
      </c>
      <c r="L194" s="260"/>
      <c r="M194" s="260"/>
      <c r="N194" s="260"/>
      <c r="O194" s="260"/>
      <c r="P194" s="260"/>
      <c r="S194" s="261"/>
      <c r="T194" s="261"/>
      <c r="U194" s="261"/>
      <c r="V194" s="261"/>
      <c r="W194" s="261"/>
      <c r="X194" s="261"/>
      <c r="Y194" s="261"/>
      <c r="Z194" s="261"/>
      <c r="AA194" s="261"/>
      <c r="AB194" s="261"/>
    </row>
    <row r="195" spans="1:28" ht="22.5">
      <c r="A195" s="1099"/>
      <c r="B195" s="1100"/>
      <c r="C195" s="1061">
        <v>634</v>
      </c>
      <c r="D195" s="1101"/>
      <c r="E195" s="306" t="s">
        <v>411</v>
      </c>
      <c r="F195" s="288">
        <f>[5]Druhova!G190</f>
        <v>25370.474450000002</v>
      </c>
      <c r="G195" s="288">
        <f>[5]Druhova!B190</f>
        <v>65000</v>
      </c>
      <c r="H195" s="288">
        <f>[5]Druhova!C190</f>
        <v>47834</v>
      </c>
      <c r="I195" s="288">
        <f>[5]Druhova!D190</f>
        <v>111987.54416</v>
      </c>
      <c r="J195" s="288">
        <f t="shared" si="4"/>
        <v>234.11703842455159</v>
      </c>
      <c r="K195" s="289">
        <f t="shared" si="5"/>
        <v>441.40894716298851</v>
      </c>
      <c r="L195" s="260"/>
      <c r="M195" s="260"/>
      <c r="N195" s="260"/>
      <c r="O195" s="260"/>
      <c r="P195" s="260"/>
      <c r="S195" s="261"/>
      <c r="T195" s="261"/>
      <c r="U195" s="261"/>
      <c r="V195" s="261"/>
      <c r="W195" s="261"/>
      <c r="X195" s="261"/>
      <c r="Y195" s="261"/>
      <c r="Z195" s="261"/>
      <c r="AA195" s="261"/>
      <c r="AB195" s="261"/>
    </row>
    <row r="196" spans="1:28" s="286" customFormat="1">
      <c r="A196" s="1065"/>
      <c r="B196" s="1070"/>
      <c r="C196" s="1061"/>
      <c r="D196" s="1061">
        <v>6341</v>
      </c>
      <c r="E196" s="306" t="s">
        <v>412</v>
      </c>
      <c r="F196" s="288">
        <f>[5]Druhova!G191</f>
        <v>23820.07445</v>
      </c>
      <c r="G196" s="288">
        <f>[5]Druhova!B191</f>
        <v>20000</v>
      </c>
      <c r="H196" s="288">
        <f>[5]Druhova!C191</f>
        <v>17834</v>
      </c>
      <c r="I196" s="288">
        <f>[5]Druhova!D191</f>
        <v>81987.544160000005</v>
      </c>
      <c r="J196" s="288">
        <f t="shared" si="4"/>
        <v>459.72605225972865</v>
      </c>
      <c r="K196" s="289">
        <f t="shared" si="5"/>
        <v>344.19516333627581</v>
      </c>
      <c r="L196" s="285"/>
      <c r="M196" s="285"/>
      <c r="N196" s="285"/>
      <c r="O196" s="285"/>
      <c r="P196" s="285"/>
      <c r="Q196" s="285"/>
      <c r="R196" s="285"/>
    </row>
    <row r="197" spans="1:28">
      <c r="A197" s="1065"/>
      <c r="B197" s="1070"/>
      <c r="C197" s="1061"/>
      <c r="D197" s="1061">
        <v>6342</v>
      </c>
      <c r="E197" s="306" t="s">
        <v>413</v>
      </c>
      <c r="F197" s="288">
        <f>[5]Druhova!G192</f>
        <v>1550.4</v>
      </c>
      <c r="G197" s="288">
        <f>[5]Druhova!B192</f>
        <v>45000</v>
      </c>
      <c r="H197" s="288">
        <f>[5]Druhova!C192</f>
        <v>30000</v>
      </c>
      <c r="I197" s="288">
        <f>[5]Druhova!D192</f>
        <v>30000</v>
      </c>
      <c r="J197" s="288">
        <f t="shared" si="4"/>
        <v>100</v>
      </c>
      <c r="K197" s="289">
        <f t="shared" si="5"/>
        <v>1934.9845201238388</v>
      </c>
      <c r="L197" s="260"/>
      <c r="M197" s="260"/>
      <c r="N197" s="260"/>
      <c r="O197" s="260"/>
      <c r="P197" s="260"/>
      <c r="S197" s="261"/>
      <c r="T197" s="261"/>
      <c r="U197" s="261"/>
      <c r="V197" s="261"/>
      <c r="W197" s="261"/>
      <c r="X197" s="261"/>
      <c r="Y197" s="261"/>
      <c r="Z197" s="261"/>
      <c r="AA197" s="261"/>
      <c r="AB197" s="261"/>
    </row>
    <row r="198" spans="1:28" s="286" customFormat="1" ht="22.5">
      <c r="A198" s="1065"/>
      <c r="B198" s="1070"/>
      <c r="C198" s="1061"/>
      <c r="D198" s="1061">
        <v>6343</v>
      </c>
      <c r="E198" s="306" t="s">
        <v>414</v>
      </c>
      <c r="F198" s="288">
        <f>[5]Druhova!G193</f>
        <v>0</v>
      </c>
      <c r="G198" s="288">
        <f>[5]Druhova!B193</f>
        <v>0</v>
      </c>
      <c r="H198" s="288">
        <f>[5]Druhova!C193</f>
        <v>0</v>
      </c>
      <c r="I198" s="288">
        <f>[5]Druhova!D193</f>
        <v>0</v>
      </c>
      <c r="J198" s="288" t="str">
        <f t="shared" si="4"/>
        <v/>
      </c>
      <c r="K198" s="289" t="str">
        <f t="shared" si="5"/>
        <v/>
      </c>
      <c r="L198" s="285"/>
      <c r="M198" s="285"/>
      <c r="N198" s="285"/>
      <c r="O198" s="285"/>
      <c r="P198" s="285"/>
      <c r="Q198" s="285"/>
      <c r="R198" s="285"/>
    </row>
    <row r="199" spans="1:28" s="286" customFormat="1" ht="22.5">
      <c r="A199" s="1065"/>
      <c r="B199" s="1070"/>
      <c r="C199" s="1061"/>
      <c r="D199" s="1061">
        <v>6344</v>
      </c>
      <c r="E199" s="306" t="s">
        <v>415</v>
      </c>
      <c r="F199" s="288">
        <f>[5]Druhova!G194</f>
        <v>0</v>
      </c>
      <c r="G199" s="288">
        <f>[5]Druhova!B194</f>
        <v>0</v>
      </c>
      <c r="H199" s="288">
        <f>[5]Druhova!C194</f>
        <v>0</v>
      </c>
      <c r="I199" s="288">
        <f>[5]Druhova!D194</f>
        <v>0</v>
      </c>
      <c r="J199" s="288" t="str">
        <f t="shared" si="4"/>
        <v/>
      </c>
      <c r="K199" s="289" t="str">
        <f t="shared" si="5"/>
        <v/>
      </c>
      <c r="L199" s="285"/>
      <c r="M199" s="285"/>
      <c r="N199" s="285"/>
      <c r="O199" s="285"/>
      <c r="P199" s="285"/>
      <c r="Q199" s="285"/>
      <c r="R199" s="285"/>
    </row>
    <row r="200" spans="1:28" s="286" customFormat="1">
      <c r="A200" s="1065"/>
      <c r="B200" s="1070"/>
      <c r="C200" s="1061"/>
      <c r="D200" s="1061">
        <v>6345</v>
      </c>
      <c r="E200" s="306" t="s">
        <v>416</v>
      </c>
      <c r="F200" s="288">
        <f>[5]Druhova!G195</f>
        <v>0</v>
      </c>
      <c r="G200" s="288">
        <f>[5]Druhova!B195</f>
        <v>0</v>
      </c>
      <c r="H200" s="288">
        <f>[5]Druhova!C195</f>
        <v>0</v>
      </c>
      <c r="I200" s="288">
        <f>[5]Druhova!D195</f>
        <v>0</v>
      </c>
      <c r="J200" s="288" t="str">
        <f t="shared" si="4"/>
        <v/>
      </c>
      <c r="K200" s="289" t="str">
        <f t="shared" si="5"/>
        <v/>
      </c>
      <c r="L200" s="285"/>
      <c r="M200" s="285"/>
      <c r="N200" s="285"/>
      <c r="O200" s="285"/>
      <c r="P200" s="285"/>
      <c r="Q200" s="285"/>
      <c r="R200" s="285"/>
    </row>
    <row r="201" spans="1:28" ht="22.5">
      <c r="A201" s="1065"/>
      <c r="B201" s="1070"/>
      <c r="C201" s="1061"/>
      <c r="D201" s="1061">
        <v>6349</v>
      </c>
      <c r="E201" s="306" t="s">
        <v>417</v>
      </c>
      <c r="F201" s="288">
        <f>[5]Druhova!G196</f>
        <v>0</v>
      </c>
      <c r="G201" s="288">
        <f>[5]Druhova!B196</f>
        <v>0</v>
      </c>
      <c r="H201" s="288">
        <f>[5]Druhova!C196</f>
        <v>0</v>
      </c>
      <c r="I201" s="288">
        <f>[5]Druhova!D196</f>
        <v>0</v>
      </c>
      <c r="J201" s="288" t="str">
        <f t="shared" si="4"/>
        <v/>
      </c>
      <c r="K201" s="289" t="str">
        <f t="shared" si="5"/>
        <v/>
      </c>
      <c r="L201" s="260"/>
      <c r="M201" s="260"/>
      <c r="N201" s="260"/>
      <c r="O201" s="260"/>
      <c r="P201" s="260"/>
      <c r="S201" s="261"/>
      <c r="T201" s="261"/>
      <c r="U201" s="261"/>
      <c r="V201" s="261"/>
      <c r="W201" s="261"/>
      <c r="X201" s="261"/>
      <c r="Y201" s="261"/>
      <c r="Z201" s="261"/>
      <c r="AA201" s="261"/>
      <c r="AB201" s="261"/>
    </row>
    <row r="202" spans="1:28" ht="22.5">
      <c r="A202" s="1065"/>
      <c r="B202" s="1070"/>
      <c r="C202" s="1061">
        <v>635</v>
      </c>
      <c r="D202" s="1061"/>
      <c r="E202" s="306" t="s">
        <v>418</v>
      </c>
      <c r="F202" s="288">
        <f>[5]Druhova!G197</f>
        <v>4093.83</v>
      </c>
      <c r="G202" s="288">
        <f>[5]Druhova!B197</f>
        <v>4100</v>
      </c>
      <c r="H202" s="288">
        <f>[5]Druhova!C197</f>
        <v>19700</v>
      </c>
      <c r="I202" s="288">
        <f>[5]Druhova!D197</f>
        <v>12561.663989999999</v>
      </c>
      <c r="J202" s="288">
        <f t="shared" si="4"/>
        <v>63.764791827411159</v>
      </c>
      <c r="K202" s="289">
        <f t="shared" si="5"/>
        <v>306.84381105224202</v>
      </c>
      <c r="L202" s="260"/>
      <c r="M202" s="260"/>
      <c r="N202" s="260"/>
      <c r="O202" s="260"/>
      <c r="P202" s="260"/>
      <c r="S202" s="261"/>
      <c r="T202" s="261"/>
      <c r="U202" s="261"/>
      <c r="V202" s="261"/>
      <c r="W202" s="261"/>
      <c r="X202" s="261"/>
      <c r="Y202" s="261"/>
      <c r="Z202" s="261"/>
      <c r="AA202" s="261"/>
      <c r="AB202" s="261"/>
    </row>
    <row r="203" spans="1:28">
      <c r="A203" s="1065"/>
      <c r="B203" s="1070"/>
      <c r="C203" s="1061">
        <v>636</v>
      </c>
      <c r="D203" s="1061"/>
      <c r="E203" s="306" t="s">
        <v>419</v>
      </c>
      <c r="F203" s="288">
        <f>[5]Druhova!G198</f>
        <v>0</v>
      </c>
      <c r="G203" s="288">
        <f>[5]Druhova!B198</f>
        <v>0</v>
      </c>
      <c r="H203" s="288">
        <f>[5]Druhova!C198</f>
        <v>0</v>
      </c>
      <c r="I203" s="288">
        <f>[5]Druhova!D198</f>
        <v>0</v>
      </c>
      <c r="J203" s="288" t="str">
        <f t="shared" si="4"/>
        <v/>
      </c>
      <c r="K203" s="289" t="str">
        <f t="shared" si="5"/>
        <v/>
      </c>
      <c r="L203" s="260"/>
      <c r="M203" s="260"/>
      <c r="N203" s="260"/>
      <c r="O203" s="260"/>
      <c r="P203" s="260"/>
      <c r="S203" s="261"/>
      <c r="T203" s="261"/>
      <c r="U203" s="261"/>
      <c r="V203" s="261"/>
      <c r="W203" s="261"/>
      <c r="X203" s="261"/>
      <c r="Y203" s="261"/>
      <c r="Z203" s="261"/>
      <c r="AA203" s="261"/>
      <c r="AB203" s="261"/>
    </row>
    <row r="204" spans="1:28">
      <c r="A204" s="1065"/>
      <c r="B204" s="1070"/>
      <c r="C204" s="1061">
        <v>637</v>
      </c>
      <c r="D204" s="1061"/>
      <c r="E204" s="306" t="s">
        <v>420</v>
      </c>
      <c r="F204" s="288">
        <f>[5]Druhova!G199</f>
        <v>0</v>
      </c>
      <c r="G204" s="288">
        <f>[5]Druhova!B199</f>
        <v>0</v>
      </c>
      <c r="H204" s="288">
        <f>[5]Druhova!C199</f>
        <v>0</v>
      </c>
      <c r="I204" s="288">
        <f>[5]Druhova!D199</f>
        <v>0</v>
      </c>
      <c r="J204" s="288" t="str">
        <f t="shared" si="4"/>
        <v/>
      </c>
      <c r="K204" s="289" t="str">
        <f t="shared" si="5"/>
        <v/>
      </c>
      <c r="L204" s="260"/>
      <c r="M204" s="260"/>
      <c r="N204" s="260"/>
      <c r="O204" s="260"/>
      <c r="P204" s="260"/>
      <c r="S204" s="261"/>
      <c r="T204" s="261"/>
      <c r="U204" s="261"/>
      <c r="V204" s="261"/>
      <c r="W204" s="261"/>
      <c r="X204" s="261"/>
      <c r="Y204" s="261"/>
      <c r="Z204" s="261"/>
      <c r="AA204" s="261"/>
      <c r="AB204" s="261"/>
    </row>
    <row r="205" spans="1:28">
      <c r="A205" s="1065"/>
      <c r="B205" s="1070"/>
      <c r="C205" s="1061">
        <v>638</v>
      </c>
      <c r="D205" s="1061"/>
      <c r="E205" s="306" t="s">
        <v>421</v>
      </c>
      <c r="F205" s="288">
        <f>[5]Druhova!G200</f>
        <v>0</v>
      </c>
      <c r="G205" s="288">
        <f>[5]Druhova!B200</f>
        <v>0</v>
      </c>
      <c r="H205" s="288">
        <f>[5]Druhova!C200</f>
        <v>0</v>
      </c>
      <c r="I205" s="288">
        <f>[5]Druhova!D200</f>
        <v>0</v>
      </c>
      <c r="J205" s="288" t="str">
        <f t="shared" si="4"/>
        <v/>
      </c>
      <c r="K205" s="289" t="str">
        <f t="shared" si="5"/>
        <v/>
      </c>
      <c r="L205" s="260"/>
      <c r="M205" s="260"/>
      <c r="N205" s="260"/>
      <c r="O205" s="260"/>
      <c r="P205" s="260"/>
      <c r="S205" s="261"/>
      <c r="T205" s="261"/>
      <c r="U205" s="261"/>
      <c r="V205" s="261"/>
      <c r="W205" s="261"/>
      <c r="X205" s="261"/>
      <c r="Y205" s="261"/>
      <c r="Z205" s="261"/>
      <c r="AA205" s="261"/>
      <c r="AB205" s="261"/>
    </row>
    <row r="206" spans="1:28">
      <c r="A206" s="1065"/>
      <c r="B206" s="1070">
        <v>63</v>
      </c>
      <c r="C206" s="1061"/>
      <c r="D206" s="1070"/>
      <c r="E206" s="307" t="s">
        <v>422</v>
      </c>
      <c r="F206" s="291">
        <f>[5]Druhova!G201</f>
        <v>29464.30445</v>
      </c>
      <c r="G206" s="291">
        <f>[5]Druhova!B201</f>
        <v>69100</v>
      </c>
      <c r="H206" s="291">
        <f>[5]Druhova!C201</f>
        <v>67534</v>
      </c>
      <c r="I206" s="291">
        <f>[5]Druhova!D201</f>
        <v>124549.20815000001</v>
      </c>
      <c r="J206" s="291">
        <f t="shared" si="4"/>
        <v>184.42445012882399</v>
      </c>
      <c r="K206" s="292">
        <f t="shared" si="5"/>
        <v>422.71219523052412</v>
      </c>
      <c r="L206" s="260"/>
      <c r="M206" s="260"/>
      <c r="N206" s="260"/>
      <c r="O206" s="260"/>
      <c r="P206" s="260"/>
      <c r="S206" s="261"/>
      <c r="T206" s="261"/>
      <c r="U206" s="261"/>
      <c r="V206" s="261"/>
      <c r="W206" s="261"/>
      <c r="X206" s="261"/>
      <c r="Y206" s="261"/>
      <c r="Z206" s="261"/>
      <c r="AA206" s="261"/>
      <c r="AB206" s="261"/>
    </row>
    <row r="207" spans="1:28" ht="22.5">
      <c r="A207" s="1065"/>
      <c r="B207" s="1070"/>
      <c r="C207" s="1061">
        <v>641</v>
      </c>
      <c r="D207" s="1061"/>
      <c r="E207" s="306" t="s">
        <v>423</v>
      </c>
      <c r="F207" s="288">
        <f>[5]Druhova!G202</f>
        <v>0</v>
      </c>
      <c r="G207" s="288">
        <f>[5]Druhova!B202</f>
        <v>0</v>
      </c>
      <c r="H207" s="288">
        <f>[5]Druhova!C202</f>
        <v>0</v>
      </c>
      <c r="I207" s="288">
        <f>[5]Druhova!D202</f>
        <v>0</v>
      </c>
      <c r="J207" s="288" t="str">
        <f t="shared" si="4"/>
        <v/>
      </c>
      <c r="K207" s="289" t="str">
        <f t="shared" si="5"/>
        <v/>
      </c>
      <c r="L207" s="260"/>
      <c r="M207" s="260"/>
      <c r="N207" s="260"/>
      <c r="O207" s="260"/>
      <c r="P207" s="260"/>
      <c r="S207" s="261"/>
      <c r="T207" s="261"/>
      <c r="U207" s="261"/>
      <c r="V207" s="261"/>
      <c r="W207" s="261"/>
      <c r="X207" s="261"/>
      <c r="Y207" s="261"/>
      <c r="Z207" s="261"/>
      <c r="AA207" s="261"/>
      <c r="AB207" s="261"/>
    </row>
    <row r="208" spans="1:28" ht="22.5">
      <c r="A208" s="1065"/>
      <c r="B208" s="1070"/>
      <c r="C208" s="1061">
        <v>642</v>
      </c>
      <c r="D208" s="1061"/>
      <c r="E208" s="306" t="s">
        <v>424</v>
      </c>
      <c r="F208" s="288">
        <f>[5]Druhova!G203</f>
        <v>0</v>
      </c>
      <c r="G208" s="288">
        <f>[5]Druhova!B203</f>
        <v>0</v>
      </c>
      <c r="H208" s="288">
        <f>[5]Druhova!C203</f>
        <v>0</v>
      </c>
      <c r="I208" s="288">
        <f>[5]Druhova!D203</f>
        <v>0</v>
      </c>
      <c r="J208" s="288" t="str">
        <f t="shared" ref="J208:J227" si="6">IF(H208=0,"",I208/H208*100)</f>
        <v/>
      </c>
      <c r="K208" s="289" t="str">
        <f t="shared" ref="K208:K227" si="7">IF(F208=0,"",I208/F208*100)</f>
        <v/>
      </c>
      <c r="L208" s="260"/>
      <c r="M208" s="260"/>
      <c r="N208" s="260"/>
      <c r="O208" s="260"/>
      <c r="P208" s="260"/>
      <c r="S208" s="261"/>
      <c r="T208" s="261"/>
      <c r="U208" s="261"/>
      <c r="V208" s="261"/>
      <c r="W208" s="261"/>
      <c r="X208" s="261"/>
      <c r="Y208" s="261"/>
      <c r="Z208" s="261"/>
      <c r="AA208" s="261"/>
      <c r="AB208" s="261"/>
    </row>
    <row r="209" spans="1:28" ht="22.5">
      <c r="A209" s="1065"/>
      <c r="B209" s="1070"/>
      <c r="C209" s="1061">
        <v>643</v>
      </c>
      <c r="D209" s="1061"/>
      <c r="E209" s="306" t="s">
        <v>425</v>
      </c>
      <c r="F209" s="288">
        <f>[5]Druhova!G204</f>
        <v>0</v>
      </c>
      <c r="G209" s="288">
        <f>[5]Druhova!B204</f>
        <v>0</v>
      </c>
      <c r="H209" s="288">
        <f>[5]Druhova!C204</f>
        <v>0</v>
      </c>
      <c r="I209" s="288">
        <f>[5]Druhova!D204</f>
        <v>0</v>
      </c>
      <c r="J209" s="288" t="str">
        <f t="shared" si="6"/>
        <v/>
      </c>
      <c r="K209" s="289" t="str">
        <f t="shared" si="7"/>
        <v/>
      </c>
      <c r="L209" s="260"/>
      <c r="M209" s="260"/>
      <c r="N209" s="260"/>
      <c r="O209" s="260"/>
      <c r="P209" s="260"/>
      <c r="S209" s="261"/>
      <c r="T209" s="261"/>
      <c r="U209" s="261"/>
      <c r="V209" s="261"/>
      <c r="W209" s="261"/>
      <c r="X209" s="261"/>
      <c r="Y209" s="261"/>
      <c r="Z209" s="261"/>
      <c r="AA209" s="261"/>
      <c r="AB209" s="261"/>
    </row>
    <row r="210" spans="1:28" ht="22.5">
      <c r="A210" s="1065"/>
      <c r="B210" s="1070"/>
      <c r="C210" s="1061">
        <v>644</v>
      </c>
      <c r="D210" s="1061"/>
      <c r="E210" s="306" t="s">
        <v>426</v>
      </c>
      <c r="F210" s="288">
        <f>[5]Druhova!G205</f>
        <v>0</v>
      </c>
      <c r="G210" s="288">
        <f>[5]Druhova!B205</f>
        <v>0</v>
      </c>
      <c r="H210" s="288">
        <f>[5]Druhova!C205</f>
        <v>0</v>
      </c>
      <c r="I210" s="288">
        <f>[5]Druhova!D205</f>
        <v>0</v>
      </c>
      <c r="J210" s="288" t="str">
        <f t="shared" si="6"/>
        <v/>
      </c>
      <c r="K210" s="289" t="str">
        <f t="shared" si="7"/>
        <v/>
      </c>
      <c r="L210" s="260"/>
      <c r="M210" s="260"/>
      <c r="N210" s="260"/>
      <c r="O210" s="260"/>
      <c r="P210" s="260"/>
      <c r="S210" s="261"/>
      <c r="T210" s="261"/>
      <c r="U210" s="261"/>
      <c r="V210" s="261"/>
      <c r="W210" s="261"/>
      <c r="X210" s="261"/>
      <c r="Y210" s="261"/>
      <c r="Z210" s="261"/>
      <c r="AA210" s="261"/>
      <c r="AB210" s="261"/>
    </row>
    <row r="211" spans="1:28" ht="22.5">
      <c r="A211" s="1065"/>
      <c r="B211" s="1070"/>
      <c r="C211" s="1061">
        <v>645</v>
      </c>
      <c r="D211" s="1061"/>
      <c r="E211" s="306" t="s">
        <v>427</v>
      </c>
      <c r="F211" s="288">
        <f>[5]Druhova!G206</f>
        <v>0</v>
      </c>
      <c r="G211" s="288">
        <f>[5]Druhova!B206</f>
        <v>0</v>
      </c>
      <c r="H211" s="288">
        <f>[5]Druhova!C206</f>
        <v>0</v>
      </c>
      <c r="I211" s="288">
        <f>[5]Druhova!D206</f>
        <v>0</v>
      </c>
      <c r="J211" s="288" t="str">
        <f t="shared" si="6"/>
        <v/>
      </c>
      <c r="K211" s="289" t="str">
        <f t="shared" si="7"/>
        <v/>
      </c>
      <c r="L211" s="260"/>
      <c r="M211" s="260"/>
      <c r="N211" s="260"/>
      <c r="O211" s="260"/>
      <c r="P211" s="260"/>
      <c r="S211" s="261"/>
      <c r="T211" s="261"/>
      <c r="U211" s="261"/>
      <c r="V211" s="261"/>
      <c r="W211" s="261"/>
      <c r="X211" s="261"/>
      <c r="Y211" s="261"/>
      <c r="Z211" s="261"/>
      <c r="AA211" s="261"/>
      <c r="AB211" s="261"/>
    </row>
    <row r="212" spans="1:28">
      <c r="A212" s="1065"/>
      <c r="B212" s="1070"/>
      <c r="C212" s="1061">
        <v>646</v>
      </c>
      <c r="D212" s="1061"/>
      <c r="E212" s="306" t="s">
        <v>428</v>
      </c>
      <c r="F212" s="288">
        <f>[5]Druhova!G207</f>
        <v>0</v>
      </c>
      <c r="G212" s="288">
        <f>[5]Druhova!B207</f>
        <v>0</v>
      </c>
      <c r="H212" s="288">
        <f>[5]Druhova!C207</f>
        <v>0</v>
      </c>
      <c r="I212" s="288">
        <f>[5]Druhova!D207</f>
        <v>0</v>
      </c>
      <c r="J212" s="288" t="str">
        <f t="shared" si="6"/>
        <v/>
      </c>
      <c r="K212" s="289" t="str">
        <f t="shared" si="7"/>
        <v/>
      </c>
      <c r="L212" s="260"/>
      <c r="M212" s="260"/>
      <c r="N212" s="260"/>
      <c r="O212" s="260"/>
      <c r="P212" s="260"/>
      <c r="S212" s="261"/>
      <c r="T212" s="261"/>
      <c r="U212" s="261"/>
      <c r="V212" s="261"/>
      <c r="W212" s="261"/>
      <c r="X212" s="261"/>
      <c r="Y212" s="261"/>
      <c r="Z212" s="261"/>
      <c r="AA212" s="261"/>
      <c r="AB212" s="261"/>
    </row>
    <row r="213" spans="1:28">
      <c r="A213" s="1065"/>
      <c r="B213" s="1070"/>
      <c r="C213" s="1061">
        <v>647</v>
      </c>
      <c r="D213" s="1061"/>
      <c r="E213" s="306" t="s">
        <v>429</v>
      </c>
      <c r="F213" s="288">
        <f>[5]Druhova!G208</f>
        <v>0</v>
      </c>
      <c r="G213" s="288">
        <f>[5]Druhova!B208</f>
        <v>0</v>
      </c>
      <c r="H213" s="288">
        <f>[5]Druhova!C208</f>
        <v>0</v>
      </c>
      <c r="I213" s="288">
        <f>[5]Druhova!D208</f>
        <v>0</v>
      </c>
      <c r="J213" s="288" t="str">
        <f t="shared" si="6"/>
        <v/>
      </c>
      <c r="K213" s="289" t="str">
        <f t="shared" si="7"/>
        <v/>
      </c>
      <c r="L213" s="260"/>
      <c r="M213" s="260"/>
      <c r="N213" s="260"/>
      <c r="O213" s="260"/>
      <c r="P213" s="260"/>
      <c r="S213" s="261"/>
      <c r="T213" s="261"/>
      <c r="U213" s="261"/>
      <c r="V213" s="261"/>
      <c r="W213" s="261"/>
      <c r="X213" s="261"/>
      <c r="Y213" s="261"/>
      <c r="Z213" s="261"/>
      <c r="AA213" s="261"/>
      <c r="AB213" s="261"/>
    </row>
    <row r="214" spans="1:28">
      <c r="A214" s="1065"/>
      <c r="B214" s="1070">
        <v>64</v>
      </c>
      <c r="C214" s="1061"/>
      <c r="D214" s="1070"/>
      <c r="E214" s="307" t="s">
        <v>430</v>
      </c>
      <c r="F214" s="291">
        <f>[5]Druhova!G209</f>
        <v>0</v>
      </c>
      <c r="G214" s="291">
        <f>[5]Druhova!B209</f>
        <v>0</v>
      </c>
      <c r="H214" s="291">
        <f>[5]Druhova!C209</f>
        <v>0</v>
      </c>
      <c r="I214" s="291">
        <f>[5]Druhova!D209</f>
        <v>0</v>
      </c>
      <c r="J214" s="291" t="str">
        <f t="shared" si="6"/>
        <v/>
      </c>
      <c r="K214" s="292" t="str">
        <f t="shared" si="7"/>
        <v/>
      </c>
      <c r="L214" s="260"/>
      <c r="M214" s="260"/>
      <c r="N214" s="260"/>
      <c r="O214" s="260"/>
      <c r="P214" s="260"/>
      <c r="S214" s="261"/>
      <c r="T214" s="261"/>
      <c r="U214" s="261"/>
      <c r="V214" s="261"/>
      <c r="W214" s="261"/>
      <c r="X214" s="261"/>
      <c r="Y214" s="261"/>
      <c r="Z214" s="261"/>
      <c r="AA214" s="261"/>
      <c r="AB214" s="261"/>
    </row>
    <row r="215" spans="1:28" ht="33.75">
      <c r="A215" s="1065"/>
      <c r="B215" s="1070"/>
      <c r="C215" s="1061">
        <v>671</v>
      </c>
      <c r="D215" s="1061"/>
      <c r="E215" s="306" t="s">
        <v>431</v>
      </c>
      <c r="F215" s="288">
        <f>[5]Druhova!G210</f>
        <v>0</v>
      </c>
      <c r="G215" s="288">
        <f>[5]Druhova!B210</f>
        <v>0</v>
      </c>
      <c r="H215" s="288">
        <f>[5]Druhova!C210</f>
        <v>0</v>
      </c>
      <c r="I215" s="288">
        <f>[5]Druhova!D210</f>
        <v>0</v>
      </c>
      <c r="J215" s="288" t="str">
        <f t="shared" si="6"/>
        <v/>
      </c>
      <c r="K215" s="289" t="str">
        <f t="shared" si="7"/>
        <v/>
      </c>
      <c r="L215" s="260"/>
      <c r="M215" s="260"/>
      <c r="N215" s="260"/>
      <c r="O215" s="260"/>
      <c r="P215" s="260"/>
      <c r="S215" s="261"/>
      <c r="T215" s="261"/>
      <c r="U215" s="261"/>
      <c r="V215" s="261"/>
      <c r="W215" s="261"/>
      <c r="X215" s="261"/>
      <c r="Y215" s="261"/>
      <c r="Z215" s="261"/>
      <c r="AA215" s="261"/>
      <c r="AB215" s="261"/>
    </row>
    <row r="216" spans="1:28" s="286" customFormat="1" ht="33.75">
      <c r="A216" s="1065"/>
      <c r="B216" s="1070"/>
      <c r="C216" s="1061">
        <v>672</v>
      </c>
      <c r="D216" s="1061"/>
      <c r="E216" s="306" t="s">
        <v>432</v>
      </c>
      <c r="F216" s="288">
        <f>[5]Druhova!G211</f>
        <v>0</v>
      </c>
      <c r="G216" s="288">
        <f>[5]Druhova!B211</f>
        <v>0</v>
      </c>
      <c r="H216" s="288">
        <f>[5]Druhova!C211</f>
        <v>0</v>
      </c>
      <c r="I216" s="288">
        <f>[5]Druhova!D211</f>
        <v>0</v>
      </c>
      <c r="J216" s="288" t="str">
        <f t="shared" si="6"/>
        <v/>
      </c>
      <c r="K216" s="289" t="str">
        <f t="shared" si="7"/>
        <v/>
      </c>
      <c r="L216" s="285"/>
      <c r="M216" s="285"/>
      <c r="N216" s="285"/>
      <c r="O216" s="285"/>
      <c r="P216" s="285"/>
      <c r="Q216" s="285"/>
      <c r="R216" s="285"/>
    </row>
    <row r="217" spans="1:28" ht="33.75">
      <c r="A217" s="1065"/>
      <c r="B217" s="1070"/>
      <c r="C217" s="1061">
        <v>673</v>
      </c>
      <c r="D217" s="1061"/>
      <c r="E217" s="306" t="s">
        <v>433</v>
      </c>
      <c r="F217" s="288">
        <f>[5]Druhova!G212</f>
        <v>0</v>
      </c>
      <c r="G217" s="288">
        <f>[5]Druhova!B212</f>
        <v>0</v>
      </c>
      <c r="H217" s="288">
        <f>[5]Druhova!C212</f>
        <v>0</v>
      </c>
      <c r="I217" s="288">
        <f>[5]Druhova!D212</f>
        <v>0</v>
      </c>
      <c r="J217" s="288" t="str">
        <f t="shared" si="6"/>
        <v/>
      </c>
      <c r="K217" s="289" t="str">
        <f t="shared" si="7"/>
        <v/>
      </c>
      <c r="L217" s="260"/>
      <c r="M217" s="260"/>
      <c r="N217" s="260"/>
      <c r="O217" s="260"/>
      <c r="P217" s="260"/>
      <c r="S217" s="261"/>
      <c r="T217" s="261"/>
      <c r="U217" s="261"/>
      <c r="V217" s="261"/>
      <c r="W217" s="261"/>
      <c r="X217" s="261"/>
      <c r="Y217" s="261"/>
      <c r="Z217" s="261"/>
      <c r="AA217" s="261"/>
      <c r="AB217" s="261"/>
    </row>
    <row r="218" spans="1:28" ht="33.75">
      <c r="A218" s="1065"/>
      <c r="B218" s="1070"/>
      <c r="C218" s="1061">
        <v>674</v>
      </c>
      <c r="D218" s="1061"/>
      <c r="E218" s="306" t="s">
        <v>434</v>
      </c>
      <c r="F218" s="288">
        <f>[5]Druhova!G213</f>
        <v>0</v>
      </c>
      <c r="G218" s="288">
        <f>[5]Druhova!B213</f>
        <v>0</v>
      </c>
      <c r="H218" s="288">
        <f>[5]Druhova!C213</f>
        <v>0</v>
      </c>
      <c r="I218" s="288">
        <f>[5]Druhova!D213</f>
        <v>0</v>
      </c>
      <c r="J218" s="288" t="str">
        <f t="shared" si="6"/>
        <v/>
      </c>
      <c r="K218" s="289" t="str">
        <f t="shared" si="7"/>
        <v/>
      </c>
      <c r="L218" s="260"/>
      <c r="M218" s="260"/>
      <c r="N218" s="260"/>
      <c r="O218" s="260"/>
      <c r="P218" s="260"/>
      <c r="S218" s="261"/>
      <c r="T218" s="261"/>
      <c r="U218" s="261"/>
      <c r="V218" s="261"/>
      <c r="W218" s="261"/>
      <c r="X218" s="261"/>
      <c r="Y218" s="261"/>
      <c r="Z218" s="261"/>
      <c r="AA218" s="261"/>
      <c r="AB218" s="261"/>
    </row>
    <row r="219" spans="1:28" ht="33.75">
      <c r="A219" s="1065"/>
      <c r="B219" s="1070"/>
      <c r="C219" s="1061">
        <v>675</v>
      </c>
      <c r="D219" s="1061"/>
      <c r="E219" s="306" t="s">
        <v>435</v>
      </c>
      <c r="F219" s="288">
        <f>[5]Druhova!G214</f>
        <v>0</v>
      </c>
      <c r="G219" s="288">
        <f>[5]Druhova!B214</f>
        <v>0</v>
      </c>
      <c r="H219" s="288">
        <f>[5]Druhova!C214</f>
        <v>0</v>
      </c>
      <c r="I219" s="288">
        <f>[5]Druhova!D214</f>
        <v>0</v>
      </c>
      <c r="J219" s="288" t="str">
        <f t="shared" si="6"/>
        <v/>
      </c>
      <c r="K219" s="289" t="str">
        <f t="shared" si="7"/>
        <v/>
      </c>
      <c r="L219" s="260"/>
      <c r="M219" s="260"/>
      <c r="N219" s="260"/>
      <c r="O219" s="260"/>
      <c r="P219" s="260"/>
      <c r="S219" s="261"/>
      <c r="T219" s="261"/>
      <c r="U219" s="261"/>
      <c r="V219" s="261"/>
      <c r="W219" s="261"/>
      <c r="X219" s="261"/>
      <c r="Y219" s="261"/>
      <c r="Z219" s="261"/>
      <c r="AA219" s="261"/>
      <c r="AB219" s="261"/>
    </row>
    <row r="220" spans="1:28" ht="33.75">
      <c r="A220" s="1065"/>
      <c r="B220" s="1070"/>
      <c r="C220" s="1061">
        <v>676</v>
      </c>
      <c r="D220" s="1061"/>
      <c r="E220" s="306" t="s">
        <v>436</v>
      </c>
      <c r="F220" s="288">
        <f>[5]Druhova!G215</f>
        <v>0</v>
      </c>
      <c r="G220" s="288">
        <f>[5]Druhova!B215</f>
        <v>0</v>
      </c>
      <c r="H220" s="288">
        <f>[5]Druhova!C215</f>
        <v>0</v>
      </c>
      <c r="I220" s="288">
        <f>[5]Druhova!D215</f>
        <v>0</v>
      </c>
      <c r="J220" s="288" t="str">
        <f t="shared" si="6"/>
        <v/>
      </c>
      <c r="K220" s="289" t="str">
        <f t="shared" si="7"/>
        <v/>
      </c>
      <c r="L220" s="260"/>
      <c r="M220" s="260"/>
      <c r="N220" s="260"/>
      <c r="O220" s="260"/>
      <c r="P220" s="260"/>
      <c r="S220" s="261"/>
      <c r="T220" s="261"/>
      <c r="U220" s="261"/>
      <c r="V220" s="261"/>
      <c r="W220" s="261"/>
      <c r="X220" s="261"/>
      <c r="Y220" s="261"/>
      <c r="Z220" s="261"/>
      <c r="AA220" s="261"/>
      <c r="AB220" s="261"/>
    </row>
    <row r="221" spans="1:28">
      <c r="A221" s="1065"/>
      <c r="B221" s="1070"/>
      <c r="C221" s="1061">
        <v>679</v>
      </c>
      <c r="D221" s="1061"/>
      <c r="E221" s="306" t="s">
        <v>437</v>
      </c>
      <c r="F221" s="288">
        <f>[5]Druhova!G216</f>
        <v>0</v>
      </c>
      <c r="G221" s="288">
        <f>[5]Druhova!B216</f>
        <v>0</v>
      </c>
      <c r="H221" s="288">
        <f>[5]Druhova!C216</f>
        <v>0</v>
      </c>
      <c r="I221" s="288">
        <f>[5]Druhova!D216</f>
        <v>0</v>
      </c>
      <c r="J221" s="288" t="str">
        <f t="shared" si="6"/>
        <v/>
      </c>
      <c r="K221" s="289" t="str">
        <f t="shared" si="7"/>
        <v/>
      </c>
      <c r="L221" s="260"/>
      <c r="M221" s="260"/>
      <c r="N221" s="260"/>
      <c r="O221" s="260"/>
      <c r="P221" s="260"/>
      <c r="S221" s="261"/>
      <c r="T221" s="261"/>
      <c r="U221" s="261"/>
      <c r="V221" s="261"/>
      <c r="W221" s="261"/>
      <c r="X221" s="261"/>
      <c r="Y221" s="261"/>
      <c r="Z221" s="261"/>
      <c r="AA221" s="261"/>
      <c r="AB221" s="261"/>
    </row>
    <row r="222" spans="1:28">
      <c r="A222" s="1065"/>
      <c r="B222" s="1070">
        <v>67</v>
      </c>
      <c r="C222" s="1061"/>
      <c r="D222" s="1061"/>
      <c r="E222" s="307" t="s">
        <v>438</v>
      </c>
      <c r="F222" s="291">
        <f>[5]Druhova!G217</f>
        <v>0</v>
      </c>
      <c r="G222" s="291">
        <f>[5]Druhova!B217</f>
        <v>0</v>
      </c>
      <c r="H222" s="291">
        <f>[5]Druhova!C217</f>
        <v>0</v>
      </c>
      <c r="I222" s="291">
        <f>[5]Druhova!D217</f>
        <v>0</v>
      </c>
      <c r="J222" s="291" t="str">
        <f t="shared" si="6"/>
        <v/>
      </c>
      <c r="K222" s="292" t="str">
        <f t="shared" si="7"/>
        <v/>
      </c>
      <c r="L222" s="260"/>
      <c r="M222" s="260"/>
      <c r="N222" s="260"/>
      <c r="O222" s="260"/>
      <c r="P222" s="260"/>
      <c r="S222" s="261"/>
      <c r="T222" s="261"/>
      <c r="U222" s="261"/>
      <c r="V222" s="261"/>
      <c r="W222" s="261"/>
      <c r="X222" s="261"/>
      <c r="Y222" s="261"/>
      <c r="Z222" s="261"/>
      <c r="AA222" s="261"/>
      <c r="AB222" s="261"/>
    </row>
    <row r="223" spans="1:28">
      <c r="A223" s="1065"/>
      <c r="B223" s="1070"/>
      <c r="C223" s="1061">
        <v>690</v>
      </c>
      <c r="D223" s="1061"/>
      <c r="E223" s="306" t="s">
        <v>439</v>
      </c>
      <c r="F223" s="288">
        <f>[5]Druhova!G218</f>
        <v>0</v>
      </c>
      <c r="G223" s="288">
        <f>[5]Druhova!B218</f>
        <v>200000</v>
      </c>
      <c r="H223" s="288">
        <f>[5]Druhova!C218</f>
        <v>295695.64610999997</v>
      </c>
      <c r="I223" s="288">
        <f>[5]Druhova!D218</f>
        <v>16370.941339999999</v>
      </c>
      <c r="J223" s="288">
        <f t="shared" si="6"/>
        <v>5.536416093833842</v>
      </c>
      <c r="K223" s="289" t="str">
        <f t="shared" si="7"/>
        <v/>
      </c>
      <c r="L223" s="260"/>
      <c r="M223" s="260"/>
      <c r="N223" s="260"/>
      <c r="O223" s="260"/>
      <c r="P223" s="260"/>
      <c r="S223" s="261"/>
      <c r="T223" s="261"/>
      <c r="U223" s="261"/>
      <c r="V223" s="261"/>
      <c r="W223" s="261"/>
      <c r="X223" s="261"/>
      <c r="Y223" s="261"/>
      <c r="Z223" s="261"/>
      <c r="AA223" s="261"/>
      <c r="AB223" s="261"/>
    </row>
    <row r="224" spans="1:28" s="286" customFormat="1" ht="13.5" thickBot="1">
      <c r="A224" s="1065"/>
      <c r="B224" s="1070">
        <v>69</v>
      </c>
      <c r="C224" s="1061"/>
      <c r="D224" s="1070"/>
      <c r="E224" s="307" t="s">
        <v>439</v>
      </c>
      <c r="F224" s="315">
        <f>[5]Druhova!G219</f>
        <v>0</v>
      </c>
      <c r="G224" s="315">
        <f>[5]Druhova!B219</f>
        <v>200000</v>
      </c>
      <c r="H224" s="315">
        <f>[5]Druhova!C219</f>
        <v>295695.64610999997</v>
      </c>
      <c r="I224" s="315">
        <f>[5]Druhova!D219</f>
        <v>16370.941339999999</v>
      </c>
      <c r="J224" s="296">
        <f t="shared" si="6"/>
        <v>5.536416093833842</v>
      </c>
      <c r="K224" s="297" t="str">
        <f t="shared" si="7"/>
        <v/>
      </c>
      <c r="L224" s="285"/>
      <c r="M224" s="285"/>
      <c r="N224" s="285"/>
      <c r="O224" s="285"/>
      <c r="P224" s="285"/>
      <c r="Q224" s="285"/>
      <c r="R224" s="285"/>
    </row>
    <row r="225" spans="1:28" s="286" customFormat="1" ht="30" customHeight="1" thickBot="1">
      <c r="A225" s="1075">
        <v>6</v>
      </c>
      <c r="B225" s="1076"/>
      <c r="C225" s="1093"/>
      <c r="D225" s="1096"/>
      <c r="E225" s="316" t="s">
        <v>440</v>
      </c>
      <c r="F225" s="304">
        <f>[5]Druhova!G220</f>
        <v>2595790.9840600002</v>
      </c>
      <c r="G225" s="301">
        <f>[5]Druhova!B220</f>
        <v>1747068.683</v>
      </c>
      <c r="H225" s="301">
        <f>[5]Druhova!C220</f>
        <v>5528708.5378599996</v>
      </c>
      <c r="I225" s="301">
        <f>[5]Druhova!D220</f>
        <v>7278509.1444600001</v>
      </c>
      <c r="J225" s="301">
        <f t="shared" si="6"/>
        <v>131.64935526294352</v>
      </c>
      <c r="K225" s="302">
        <f t="shared" si="7"/>
        <v>280.39658004651432</v>
      </c>
      <c r="L225" s="285"/>
      <c r="M225" s="285"/>
      <c r="N225" s="285"/>
      <c r="O225" s="285"/>
      <c r="P225" s="285"/>
      <c r="Q225" s="285"/>
      <c r="R225" s="285"/>
    </row>
    <row r="226" spans="1:28" ht="35.1" customHeight="1" thickBot="1">
      <c r="A226" s="1075">
        <v>5.6</v>
      </c>
      <c r="B226" s="1076"/>
      <c r="C226" s="1093"/>
      <c r="D226" s="1096"/>
      <c r="E226" s="316" t="s">
        <v>441</v>
      </c>
      <c r="F226" s="304">
        <f>[5]Druhova!G221</f>
        <v>55793233.274169996</v>
      </c>
      <c r="G226" s="301">
        <f>[5]Druhova!B221</f>
        <v>55071981.660999998</v>
      </c>
      <c r="H226" s="301">
        <f>[5]Druhova!C221</f>
        <v>60446522.674999997</v>
      </c>
      <c r="I226" s="301">
        <f>[5]Druhova!D221</f>
        <v>62887497.16578</v>
      </c>
      <c r="J226" s="301">
        <f t="shared" si="6"/>
        <v>104.03823807021007</v>
      </c>
      <c r="K226" s="302">
        <f t="shared" si="7"/>
        <v>112.71527652242079</v>
      </c>
      <c r="L226" s="260"/>
      <c r="M226" s="260"/>
      <c r="N226" s="260"/>
      <c r="O226" s="260"/>
      <c r="P226" s="260"/>
      <c r="S226" s="261"/>
      <c r="T226" s="261"/>
      <c r="U226" s="261"/>
      <c r="V226" s="261"/>
      <c r="W226" s="261"/>
      <c r="X226" s="261"/>
      <c r="Y226" s="261"/>
      <c r="Z226" s="261"/>
      <c r="AA226" s="261"/>
      <c r="AB226" s="261"/>
    </row>
    <row r="227" spans="1:28" ht="24.95" customHeight="1" thickBot="1">
      <c r="A227" s="1104" t="s">
        <v>772</v>
      </c>
      <c r="B227" s="1105"/>
      <c r="C227" s="1106"/>
      <c r="D227" s="1107"/>
      <c r="E227" s="327" t="s">
        <v>442</v>
      </c>
      <c r="F227" s="304">
        <f>[5]Druhova!G222</f>
        <v>-46517000.72682</v>
      </c>
      <c r="G227" s="301">
        <f>[5]Druhova!B222</f>
        <v>-47167932.369999997</v>
      </c>
      <c r="H227" s="301">
        <f>[5]Druhova!C222</f>
        <v>-48940473.913999997</v>
      </c>
      <c r="I227" s="301">
        <f>[5]Druhova!D222</f>
        <v>-54090710.273479998</v>
      </c>
      <c r="J227" s="301">
        <f t="shared" si="6"/>
        <v>110.52347055022432</v>
      </c>
      <c r="K227" s="302">
        <f t="shared" si="7"/>
        <v>116.2815947466993</v>
      </c>
      <c r="L227" s="260"/>
      <c r="M227" s="260"/>
      <c r="N227" s="260"/>
      <c r="O227" s="260"/>
      <c r="P227" s="260"/>
      <c r="S227" s="261"/>
      <c r="T227" s="261"/>
      <c r="U227" s="261"/>
      <c r="V227" s="261"/>
      <c r="W227" s="261"/>
      <c r="X227" s="261"/>
      <c r="Y227" s="261"/>
      <c r="Z227" s="261"/>
      <c r="AA227" s="261"/>
      <c r="AB227" s="261"/>
    </row>
    <row r="228" spans="1:28" ht="18.75" customHeight="1" thickBot="1">
      <c r="E228" s="328"/>
      <c r="F228" s="329">
        <f>[5]Druhova!G223</f>
        <v>0</v>
      </c>
      <c r="G228" s="329">
        <f>[5]Druhova!B223</f>
        <v>0</v>
      </c>
      <c r="H228" s="329">
        <f>[5]Druhova!C223</f>
        <v>0</v>
      </c>
      <c r="I228" s="329">
        <f>[5]Druhova!D223</f>
        <v>0</v>
      </c>
      <c r="J228" s="329" t="str">
        <f>[5]Druhova!F224</f>
        <v>Kontrolní součet (seskupení položek)</v>
      </c>
      <c r="K228" s="329"/>
      <c r="L228" s="260"/>
      <c r="M228" s="260"/>
      <c r="N228" s="260"/>
      <c r="O228" s="260"/>
      <c r="P228" s="260"/>
      <c r="S228" s="261"/>
      <c r="T228" s="261"/>
      <c r="U228" s="261"/>
      <c r="V228" s="261"/>
      <c r="W228" s="261"/>
      <c r="X228" s="261"/>
      <c r="Y228" s="261"/>
      <c r="Z228" s="261"/>
      <c r="AA228" s="261"/>
      <c r="AB228" s="261"/>
    </row>
    <row r="229" spans="1:28" ht="26.25" customHeight="1" thickBot="1">
      <c r="A229" s="1094"/>
      <c r="B229" s="1306" t="s">
        <v>773</v>
      </c>
      <c r="C229" s="1307"/>
      <c r="D229" s="1308"/>
      <c r="E229" s="330" t="s">
        <v>316</v>
      </c>
      <c r="F229" s="321">
        <f>[5]Druhova!G224</f>
        <v>55793233.274169996</v>
      </c>
      <c r="G229" s="318">
        <f>[5]Druhova!B224</f>
        <v>55071981.660999998</v>
      </c>
      <c r="H229" s="318">
        <f>[5]Druhova!C224</f>
        <v>60446522.674999997</v>
      </c>
      <c r="I229" s="318">
        <f>[5]Druhova!D224</f>
        <v>62887497.16578</v>
      </c>
      <c r="J229" s="318">
        <f>IF(H229=0,"",I229/H229*100)</f>
        <v>104.03823807021007</v>
      </c>
      <c r="K229" s="319">
        <f>IF(F229=0,"",I229/F229*100)</f>
        <v>112.71527652242079</v>
      </c>
      <c r="L229" s="260"/>
      <c r="M229" s="260"/>
      <c r="N229" s="260"/>
      <c r="O229" s="260"/>
      <c r="P229" s="260"/>
      <c r="S229" s="261"/>
      <c r="T229" s="261"/>
      <c r="U229" s="261"/>
      <c r="V229" s="261"/>
      <c r="W229" s="261"/>
      <c r="X229" s="261"/>
      <c r="Y229" s="261"/>
      <c r="Z229" s="261"/>
      <c r="AA229" s="261"/>
      <c r="AB229" s="261"/>
    </row>
    <row r="230" spans="1:28" ht="12.95" hidden="1" customHeight="1">
      <c r="E230" s="328"/>
      <c r="F230" s="288">
        <f>[5]Druhova!G225</f>
        <v>0</v>
      </c>
      <c r="G230" s="288">
        <f>[5]Druhova!B225</f>
        <v>0</v>
      </c>
      <c r="H230" s="288">
        <f>[5]Druhova!C225</f>
        <v>0</v>
      </c>
      <c r="I230" s="288">
        <f>[5]Druhova!D225</f>
        <v>0</v>
      </c>
      <c r="J230" s="288" t="str">
        <f>[5]Druhova!F226</f>
        <v>FINANCOVÁNÍ</v>
      </c>
      <c r="K230" s="289">
        <f>[5]Druhova!G226</f>
        <v>0</v>
      </c>
      <c r="L230" s="260"/>
      <c r="M230" s="260"/>
      <c r="N230" s="260"/>
      <c r="O230" s="260"/>
      <c r="P230" s="260"/>
      <c r="S230" s="261"/>
      <c r="T230" s="261"/>
      <c r="U230" s="261"/>
      <c r="V230" s="261"/>
      <c r="W230" s="261"/>
      <c r="X230" s="261"/>
      <c r="Y230" s="261"/>
      <c r="Z230" s="261"/>
      <c r="AA230" s="261"/>
      <c r="AB230" s="261"/>
    </row>
    <row r="231" spans="1:28" ht="18.75" customHeight="1">
      <c r="A231" s="1109"/>
      <c r="B231" s="1110"/>
      <c r="C231" s="1110"/>
      <c r="D231" s="1111"/>
      <c r="E231" s="331" t="s">
        <v>443</v>
      </c>
      <c r="F231" s="332">
        <f>[5]Druhova!G226</f>
        <v>0</v>
      </c>
      <c r="G231" s="332">
        <f>[5]Druhova!B226</f>
        <v>0</v>
      </c>
      <c r="H231" s="332">
        <f>[5]Druhova!C226</f>
        <v>0</v>
      </c>
      <c r="I231" s="332">
        <f>[5]Druhova!D226</f>
        <v>0</v>
      </c>
      <c r="J231" s="333" t="str">
        <f>[5]Druhova!F227</f>
        <v>Krátkodobé vydané dluhopisy</v>
      </c>
      <c r="K231" s="333"/>
      <c r="L231" s="260"/>
      <c r="M231" s="260"/>
      <c r="N231" s="260"/>
      <c r="O231" s="260"/>
      <c r="P231" s="260"/>
      <c r="S231" s="261"/>
      <c r="T231" s="261"/>
      <c r="U231" s="261"/>
      <c r="V231" s="261"/>
      <c r="W231" s="261"/>
      <c r="X231" s="261"/>
      <c r="Y231" s="261"/>
      <c r="Z231" s="261"/>
      <c r="AA231" s="261"/>
      <c r="AB231" s="261"/>
    </row>
    <row r="232" spans="1:28" ht="18" customHeight="1">
      <c r="A232" s="1065"/>
      <c r="B232" s="1082"/>
      <c r="C232" s="1061"/>
      <c r="D232" s="1112">
        <v>8111</v>
      </c>
      <c r="E232" s="334" t="s">
        <v>444</v>
      </c>
      <c r="F232" s="288">
        <f>[5]Druhova!G227</f>
        <v>0</v>
      </c>
      <c r="G232" s="288">
        <f>[5]Druhova!B227</f>
        <v>0</v>
      </c>
      <c r="H232" s="288">
        <f>[5]Druhova!C227</f>
        <v>0</v>
      </c>
      <c r="I232" s="288">
        <f>[5]Druhova!D227</f>
        <v>0</v>
      </c>
      <c r="J232" s="288" t="str">
        <f>IF(H232=0,"",I232/H232*100)</f>
        <v/>
      </c>
      <c r="K232" s="289" t="str">
        <f>IF(F232=0,"",I232/F232*100)</f>
        <v/>
      </c>
      <c r="L232" s="260"/>
      <c r="M232" s="260"/>
      <c r="N232" s="260"/>
      <c r="O232" s="260"/>
      <c r="P232" s="260"/>
      <c r="S232" s="261"/>
      <c r="T232" s="261"/>
      <c r="U232" s="261"/>
      <c r="V232" s="261"/>
      <c r="W232" s="261"/>
      <c r="X232" s="261"/>
      <c r="Y232" s="261"/>
      <c r="Z232" s="261"/>
      <c r="AA232" s="261"/>
      <c r="AB232" s="261"/>
    </row>
    <row r="233" spans="1:28" ht="30.75" customHeight="1">
      <c r="A233" s="1065"/>
      <c r="B233" s="1082"/>
      <c r="C233" s="1061"/>
      <c r="D233" s="1112">
        <v>8112</v>
      </c>
      <c r="E233" s="334" t="s">
        <v>445</v>
      </c>
      <c r="F233" s="288">
        <f>[5]Druhova!G228</f>
        <v>0</v>
      </c>
      <c r="G233" s="288">
        <f>[5]Druhova!B228</f>
        <v>0</v>
      </c>
      <c r="H233" s="288">
        <f>[5]Druhova!C228</f>
        <v>0</v>
      </c>
      <c r="I233" s="288">
        <f>[5]Druhova!D228</f>
        <v>0</v>
      </c>
      <c r="J233" s="288" t="str">
        <f t="shared" ref="J233:J287" si="8">IF(H233=0,"",I233/H233*100)</f>
        <v/>
      </c>
      <c r="K233" s="289" t="str">
        <f t="shared" ref="K233:K287" si="9">IF(F233=0,"",I233/F233*100)</f>
        <v/>
      </c>
      <c r="L233" s="260"/>
      <c r="M233" s="260"/>
      <c r="N233" s="260"/>
      <c r="O233" s="260"/>
      <c r="P233" s="260"/>
      <c r="S233" s="261"/>
      <c r="T233" s="261"/>
      <c r="U233" s="261"/>
      <c r="V233" s="261"/>
      <c r="W233" s="261"/>
      <c r="X233" s="261"/>
      <c r="Y233" s="261"/>
      <c r="Z233" s="261"/>
      <c r="AA233" s="261"/>
      <c r="AB233" s="261"/>
    </row>
    <row r="234" spans="1:28" ht="27.2" customHeight="1">
      <c r="A234" s="1065"/>
      <c r="B234" s="1082"/>
      <c r="C234" s="1061"/>
      <c r="D234" s="1113">
        <v>8113</v>
      </c>
      <c r="E234" s="335" t="s">
        <v>446</v>
      </c>
      <c r="F234" s="288">
        <f>[5]Druhova!G229</f>
        <v>0</v>
      </c>
      <c r="G234" s="288">
        <f>[5]Druhova!B229</f>
        <v>0</v>
      </c>
      <c r="H234" s="288">
        <f>[5]Druhova!C229</f>
        <v>0</v>
      </c>
      <c r="I234" s="288">
        <f>[5]Druhova!D229</f>
        <v>0</v>
      </c>
      <c r="J234" s="288" t="str">
        <f t="shared" si="8"/>
        <v/>
      </c>
      <c r="K234" s="289" t="str">
        <f t="shared" si="9"/>
        <v/>
      </c>
      <c r="L234" s="260"/>
      <c r="M234" s="260"/>
      <c r="N234" s="260"/>
      <c r="O234" s="260"/>
      <c r="P234" s="260"/>
      <c r="S234" s="261"/>
      <c r="T234" s="261"/>
      <c r="U234" s="261"/>
      <c r="V234" s="261"/>
      <c r="W234" s="261"/>
      <c r="X234" s="261"/>
      <c r="Y234" s="261"/>
      <c r="Z234" s="261"/>
      <c r="AA234" s="261"/>
      <c r="AB234" s="261"/>
    </row>
    <row r="235" spans="1:28" ht="37.5" customHeight="1">
      <c r="A235" s="1065"/>
      <c r="B235" s="1082"/>
      <c r="C235" s="1061"/>
      <c r="D235" s="1113">
        <v>8114</v>
      </c>
      <c r="E235" s="335" t="s">
        <v>447</v>
      </c>
      <c r="F235" s="288">
        <f>[5]Druhova!G230</f>
        <v>0</v>
      </c>
      <c r="G235" s="288">
        <f>[5]Druhova!B230</f>
        <v>0</v>
      </c>
      <c r="H235" s="288">
        <f>[5]Druhova!C230</f>
        <v>0</v>
      </c>
      <c r="I235" s="288">
        <f>[5]Druhova!D230</f>
        <v>0</v>
      </c>
      <c r="J235" s="288" t="str">
        <f t="shared" si="8"/>
        <v/>
      </c>
      <c r="K235" s="289" t="str">
        <f t="shared" si="9"/>
        <v/>
      </c>
      <c r="L235" s="260"/>
      <c r="M235" s="260"/>
      <c r="N235" s="260"/>
      <c r="O235" s="260"/>
      <c r="P235" s="260"/>
      <c r="S235" s="261"/>
      <c r="T235" s="261"/>
      <c r="U235" s="261"/>
      <c r="V235" s="261"/>
      <c r="W235" s="261"/>
      <c r="X235" s="261"/>
      <c r="Y235" s="261"/>
      <c r="Z235" s="261"/>
      <c r="AA235" s="261"/>
      <c r="AB235" s="261"/>
    </row>
    <row r="236" spans="1:28" ht="30.75" customHeight="1">
      <c r="A236" s="1065"/>
      <c r="B236" s="1082"/>
      <c r="C236" s="1061"/>
      <c r="D236" s="1112">
        <v>8115</v>
      </c>
      <c r="E236" s="334" t="s">
        <v>448</v>
      </c>
      <c r="F236" s="288">
        <f>[5]Druhova!G231</f>
        <v>0</v>
      </c>
      <c r="G236" s="288">
        <f>[5]Druhova!B231</f>
        <v>0</v>
      </c>
      <c r="H236" s="288">
        <f>[5]Druhova!C231</f>
        <v>0</v>
      </c>
      <c r="I236" s="288">
        <f>[5]Druhova!D231</f>
        <v>0</v>
      </c>
      <c r="J236" s="288" t="str">
        <f t="shared" si="8"/>
        <v/>
      </c>
      <c r="K236" s="289" t="str">
        <f t="shared" si="9"/>
        <v/>
      </c>
      <c r="L236" s="260"/>
      <c r="M236" s="260"/>
      <c r="N236" s="260"/>
      <c r="O236" s="260"/>
      <c r="P236" s="260"/>
      <c r="S236" s="261"/>
      <c r="T236" s="261"/>
      <c r="U236" s="261"/>
      <c r="V236" s="261"/>
      <c r="W236" s="261"/>
      <c r="X236" s="261"/>
      <c r="Y236" s="261"/>
      <c r="Z236" s="261"/>
      <c r="AA236" s="261"/>
      <c r="AB236" s="261"/>
    </row>
    <row r="237" spans="1:28" ht="43.5" customHeight="1">
      <c r="A237" s="1065"/>
      <c r="B237" s="1082"/>
      <c r="C237" s="1061"/>
      <c r="D237" s="1113">
        <v>8116</v>
      </c>
      <c r="E237" s="334" t="s">
        <v>449</v>
      </c>
      <c r="F237" s="288">
        <f>[5]Druhova!G232</f>
        <v>0</v>
      </c>
      <c r="G237" s="288">
        <f>[5]Druhova!B232</f>
        <v>0</v>
      </c>
      <c r="H237" s="288">
        <f>[5]Druhova!C232</f>
        <v>0</v>
      </c>
      <c r="I237" s="288">
        <f>[5]Druhova!D232</f>
        <v>0</v>
      </c>
      <c r="J237" s="288" t="str">
        <f t="shared" si="8"/>
        <v/>
      </c>
      <c r="K237" s="289" t="str">
        <f t="shared" si="9"/>
        <v/>
      </c>
      <c r="L237" s="260"/>
      <c r="M237" s="260"/>
      <c r="N237" s="260"/>
      <c r="O237" s="260"/>
      <c r="P237" s="260"/>
      <c r="S237" s="261"/>
      <c r="T237" s="261"/>
      <c r="U237" s="261"/>
      <c r="V237" s="261"/>
      <c r="W237" s="261"/>
      <c r="X237" s="261"/>
      <c r="Y237" s="261"/>
      <c r="Z237" s="261"/>
      <c r="AA237" s="261"/>
      <c r="AB237" s="261"/>
    </row>
    <row r="238" spans="1:28" ht="18" customHeight="1">
      <c r="A238" s="1065"/>
      <c r="B238" s="1082"/>
      <c r="C238" s="1061"/>
      <c r="D238" s="1113">
        <v>8117</v>
      </c>
      <c r="E238" s="334" t="s">
        <v>450</v>
      </c>
      <c r="F238" s="288">
        <f>[5]Druhova!G233</f>
        <v>0</v>
      </c>
      <c r="G238" s="288">
        <f>[5]Druhova!B233</f>
        <v>0</v>
      </c>
      <c r="H238" s="288">
        <f>[5]Druhova!C233</f>
        <v>0</v>
      </c>
      <c r="I238" s="288">
        <f>[5]Druhova!D233</f>
        <v>0</v>
      </c>
      <c r="J238" s="288" t="str">
        <f t="shared" si="8"/>
        <v/>
      </c>
      <c r="K238" s="289" t="str">
        <f t="shared" si="9"/>
        <v/>
      </c>
      <c r="L238" s="260"/>
      <c r="M238" s="260"/>
      <c r="N238" s="260"/>
      <c r="O238" s="260"/>
      <c r="P238" s="260"/>
      <c r="S238" s="261"/>
      <c r="T238" s="261"/>
      <c r="U238" s="261"/>
      <c r="V238" s="261"/>
      <c r="W238" s="261"/>
      <c r="X238" s="261"/>
      <c r="Y238" s="261"/>
      <c r="Z238" s="261"/>
      <c r="AA238" s="261"/>
      <c r="AB238" s="261"/>
    </row>
    <row r="239" spans="1:28" s="286" customFormat="1" ht="18" customHeight="1">
      <c r="A239" s="1065"/>
      <c r="B239" s="1082"/>
      <c r="C239" s="1061"/>
      <c r="D239" s="1113">
        <v>8118</v>
      </c>
      <c r="E239" s="334" t="s">
        <v>451</v>
      </c>
      <c r="F239" s="288">
        <f>[5]Druhova!G234</f>
        <v>0</v>
      </c>
      <c r="G239" s="288">
        <f>[5]Druhova!B234</f>
        <v>0</v>
      </c>
      <c r="H239" s="288">
        <f>[5]Druhova!C234</f>
        <v>0</v>
      </c>
      <c r="I239" s="288">
        <f>[5]Druhova!D234</f>
        <v>0</v>
      </c>
      <c r="J239" s="288" t="str">
        <f t="shared" si="8"/>
        <v/>
      </c>
      <c r="K239" s="289" t="str">
        <f t="shared" si="9"/>
        <v/>
      </c>
      <c r="L239" s="285"/>
      <c r="M239" s="285"/>
      <c r="N239" s="285"/>
      <c r="O239" s="285"/>
      <c r="P239" s="285"/>
      <c r="Q239" s="285"/>
      <c r="R239" s="285"/>
    </row>
    <row r="240" spans="1:28" s="286" customFormat="1" ht="18" customHeight="1">
      <c r="A240" s="1085"/>
      <c r="B240" s="1086"/>
      <c r="C240" s="1061">
        <v>811</v>
      </c>
      <c r="D240" s="1114"/>
      <c r="E240" s="336" t="s">
        <v>452</v>
      </c>
      <c r="F240" s="288">
        <f>[5]Druhova!G235</f>
        <v>0</v>
      </c>
      <c r="G240" s="288">
        <f>[5]Druhova!B235</f>
        <v>0</v>
      </c>
      <c r="H240" s="288">
        <f>[5]Druhova!C235</f>
        <v>0</v>
      </c>
      <c r="I240" s="288">
        <f>[5]Druhova!D235</f>
        <v>0</v>
      </c>
      <c r="J240" s="288" t="str">
        <f t="shared" si="8"/>
        <v/>
      </c>
      <c r="K240" s="289" t="str">
        <f t="shared" si="9"/>
        <v/>
      </c>
      <c r="L240" s="285"/>
      <c r="M240" s="285"/>
      <c r="N240" s="285"/>
      <c r="O240" s="285"/>
      <c r="P240" s="285"/>
      <c r="Q240" s="285"/>
      <c r="R240" s="285"/>
    </row>
    <row r="241" spans="1:28" s="286" customFormat="1" ht="20.100000000000001" customHeight="1">
      <c r="A241" s="1085"/>
      <c r="B241" s="1086"/>
      <c r="C241" s="1061"/>
      <c r="D241" s="1114">
        <v>8121</v>
      </c>
      <c r="E241" s="336" t="s">
        <v>453</v>
      </c>
      <c r="F241" s="288">
        <f>[5]Druhova!G236</f>
        <v>0</v>
      </c>
      <c r="G241" s="288">
        <f>[5]Druhova!B236</f>
        <v>0</v>
      </c>
      <c r="H241" s="288">
        <f>[5]Druhova!C236</f>
        <v>0</v>
      </c>
      <c r="I241" s="288">
        <f>[5]Druhova!D236</f>
        <v>0</v>
      </c>
      <c r="J241" s="288" t="str">
        <f t="shared" si="8"/>
        <v/>
      </c>
      <c r="K241" s="289" t="str">
        <f t="shared" si="9"/>
        <v/>
      </c>
      <c r="L241" s="285"/>
      <c r="M241" s="285"/>
      <c r="N241" s="285"/>
      <c r="O241" s="285"/>
      <c r="P241" s="285"/>
      <c r="Q241" s="285"/>
      <c r="R241" s="285"/>
    </row>
    <row r="242" spans="1:28" s="286" customFormat="1" ht="24">
      <c r="A242" s="1085"/>
      <c r="B242" s="1086"/>
      <c r="C242" s="1061"/>
      <c r="D242" s="1114">
        <v>8122</v>
      </c>
      <c r="E242" s="336" t="s">
        <v>454</v>
      </c>
      <c r="F242" s="288">
        <f>[5]Druhova!G237</f>
        <v>0</v>
      </c>
      <c r="G242" s="288">
        <f>[5]Druhova!B237</f>
        <v>0</v>
      </c>
      <c r="H242" s="288">
        <f>[5]Druhova!C237</f>
        <v>0</v>
      </c>
      <c r="I242" s="288">
        <f>[5]Druhova!D237</f>
        <v>0</v>
      </c>
      <c r="J242" s="288" t="str">
        <f t="shared" si="8"/>
        <v/>
      </c>
      <c r="K242" s="289" t="str">
        <f t="shared" si="9"/>
        <v/>
      </c>
      <c r="L242" s="285"/>
      <c r="M242" s="285"/>
      <c r="N242" s="285"/>
      <c r="O242" s="285"/>
      <c r="P242" s="285"/>
      <c r="Q242" s="285"/>
      <c r="R242" s="285"/>
    </row>
    <row r="243" spans="1:28" s="286" customFormat="1">
      <c r="A243" s="1085"/>
      <c r="B243" s="1086"/>
      <c r="C243" s="1061"/>
      <c r="D243" s="1114">
        <v>8123</v>
      </c>
      <c r="E243" s="336" t="s">
        <v>455</v>
      </c>
      <c r="F243" s="288">
        <f>[5]Druhova!G238</f>
        <v>0</v>
      </c>
      <c r="G243" s="288">
        <f>[5]Druhova!B238</f>
        <v>0</v>
      </c>
      <c r="H243" s="288">
        <f>[5]Druhova!C238</f>
        <v>0</v>
      </c>
      <c r="I243" s="288">
        <f>[5]Druhova!D238</f>
        <v>0</v>
      </c>
      <c r="J243" s="288" t="str">
        <f t="shared" si="8"/>
        <v/>
      </c>
      <c r="K243" s="289" t="str">
        <f t="shared" si="9"/>
        <v/>
      </c>
      <c r="L243" s="285"/>
      <c r="M243" s="285"/>
      <c r="N243" s="285"/>
      <c r="O243" s="285"/>
      <c r="P243" s="285"/>
      <c r="Q243" s="285"/>
      <c r="R243" s="285"/>
    </row>
    <row r="244" spans="1:28" s="286" customFormat="1" ht="24">
      <c r="A244" s="1085"/>
      <c r="B244" s="1086"/>
      <c r="C244" s="1061"/>
      <c r="D244" s="1114">
        <v>8124</v>
      </c>
      <c r="E244" s="336" t="s">
        <v>456</v>
      </c>
      <c r="F244" s="288">
        <f>[5]Druhova!G239</f>
        <v>0</v>
      </c>
      <c r="G244" s="288">
        <f>[5]Druhova!B239</f>
        <v>0</v>
      </c>
      <c r="H244" s="288">
        <f>[5]Druhova!C239</f>
        <v>0</v>
      </c>
      <c r="I244" s="288">
        <f>[5]Druhova!D239</f>
        <v>0</v>
      </c>
      <c r="J244" s="288" t="str">
        <f t="shared" si="8"/>
        <v/>
      </c>
      <c r="K244" s="289" t="str">
        <f t="shared" si="9"/>
        <v/>
      </c>
      <c r="L244" s="285"/>
      <c r="M244" s="285"/>
      <c r="N244" s="285"/>
      <c r="O244" s="285"/>
      <c r="P244" s="285"/>
      <c r="Q244" s="285"/>
      <c r="R244" s="285"/>
    </row>
    <row r="245" spans="1:28" s="286" customFormat="1" ht="24">
      <c r="A245" s="1085"/>
      <c r="B245" s="1086"/>
      <c r="C245" s="1061"/>
      <c r="D245" s="1114">
        <v>8125</v>
      </c>
      <c r="E245" s="336" t="s">
        <v>457</v>
      </c>
      <c r="F245" s="288">
        <f>[5]Druhova!G240</f>
        <v>0</v>
      </c>
      <c r="G245" s="288">
        <f>[5]Druhova!B240</f>
        <v>0</v>
      </c>
      <c r="H245" s="288">
        <f>[5]Druhova!C240</f>
        <v>0</v>
      </c>
      <c r="I245" s="288">
        <f>[5]Druhova!D240</f>
        <v>0</v>
      </c>
      <c r="J245" s="288" t="str">
        <f t="shared" si="8"/>
        <v/>
      </c>
      <c r="K245" s="289" t="str">
        <f t="shared" si="9"/>
        <v/>
      </c>
      <c r="L245" s="285"/>
      <c r="M245" s="285"/>
      <c r="N245" s="285"/>
      <c r="O245" s="285"/>
      <c r="P245" s="285"/>
      <c r="Q245" s="285"/>
      <c r="R245" s="285"/>
    </row>
    <row r="246" spans="1:28" s="286" customFormat="1" ht="24">
      <c r="A246" s="1085"/>
      <c r="B246" s="1086"/>
      <c r="C246" s="1061"/>
      <c r="D246" s="1114">
        <v>8127</v>
      </c>
      <c r="E246" s="336" t="s">
        <v>458</v>
      </c>
      <c r="F246" s="288">
        <f>[5]Druhova!G241</f>
        <v>0</v>
      </c>
      <c r="G246" s="288">
        <f>[5]Druhova!B241</f>
        <v>0</v>
      </c>
      <c r="H246" s="288">
        <f>[5]Druhova!C241</f>
        <v>0</v>
      </c>
      <c r="I246" s="288">
        <f>[5]Druhova!D241</f>
        <v>0</v>
      </c>
      <c r="J246" s="288" t="str">
        <f t="shared" si="8"/>
        <v/>
      </c>
      <c r="K246" s="289" t="str">
        <f t="shared" si="9"/>
        <v/>
      </c>
      <c r="L246" s="285"/>
      <c r="M246" s="285"/>
      <c r="N246" s="285"/>
      <c r="O246" s="285"/>
      <c r="P246" s="285"/>
      <c r="Q246" s="285"/>
      <c r="R246" s="285"/>
    </row>
    <row r="247" spans="1:28" s="286" customFormat="1" ht="27.2" customHeight="1">
      <c r="A247" s="1085"/>
      <c r="B247" s="1086"/>
      <c r="C247" s="1061"/>
      <c r="D247" s="1115">
        <v>8128</v>
      </c>
      <c r="E247" s="337" t="s">
        <v>459</v>
      </c>
      <c r="F247" s="288">
        <f>[5]Druhova!G242</f>
        <v>0</v>
      </c>
      <c r="G247" s="288">
        <f>[5]Druhova!B242</f>
        <v>0</v>
      </c>
      <c r="H247" s="288">
        <f>[5]Druhova!C242</f>
        <v>0</v>
      </c>
      <c r="I247" s="288">
        <f>[5]Druhova!D242</f>
        <v>0</v>
      </c>
      <c r="J247" s="288" t="str">
        <f t="shared" si="8"/>
        <v/>
      </c>
      <c r="K247" s="289" t="str">
        <f t="shared" si="9"/>
        <v/>
      </c>
      <c r="L247" s="285"/>
      <c r="M247" s="285"/>
      <c r="N247" s="285"/>
      <c r="O247" s="285"/>
      <c r="P247" s="285"/>
      <c r="Q247" s="285"/>
      <c r="R247" s="285"/>
    </row>
    <row r="248" spans="1:28" ht="18" customHeight="1">
      <c r="A248" s="1085"/>
      <c r="B248" s="1086"/>
      <c r="C248" s="1061">
        <v>812</v>
      </c>
      <c r="D248" s="1114"/>
      <c r="E248" s="336" t="s">
        <v>460</v>
      </c>
      <c r="F248" s="288">
        <f>[5]Druhova!G243</f>
        <v>0</v>
      </c>
      <c r="G248" s="288">
        <f>[5]Druhova!B243</f>
        <v>0</v>
      </c>
      <c r="H248" s="288">
        <f>[5]Druhova!C243</f>
        <v>0</v>
      </c>
      <c r="I248" s="288">
        <f>[5]Druhova!D243</f>
        <v>0</v>
      </c>
      <c r="J248" s="288" t="str">
        <f t="shared" si="8"/>
        <v/>
      </c>
      <c r="K248" s="289" t="str">
        <f t="shared" si="9"/>
        <v/>
      </c>
      <c r="L248" s="260"/>
      <c r="M248" s="260"/>
      <c r="N248" s="260"/>
      <c r="O248" s="260"/>
      <c r="P248" s="260"/>
      <c r="S248" s="261"/>
      <c r="T248" s="261"/>
      <c r="U248" s="261"/>
      <c r="V248" s="261"/>
      <c r="W248" s="261"/>
      <c r="X248" s="261"/>
      <c r="Y248" s="261"/>
      <c r="Z248" s="261"/>
      <c r="AA248" s="261"/>
      <c r="AB248" s="261"/>
    </row>
    <row r="249" spans="1:28" ht="18" customHeight="1">
      <c r="A249" s="1085"/>
      <c r="B249" s="1086">
        <v>81</v>
      </c>
      <c r="C249" s="1061"/>
      <c r="D249" s="1114"/>
      <c r="E249" s="326" t="s">
        <v>461</v>
      </c>
      <c r="F249" s="291">
        <f>[5]Druhova!G244</f>
        <v>0</v>
      </c>
      <c r="G249" s="291">
        <f>[5]Druhova!B244</f>
        <v>0</v>
      </c>
      <c r="H249" s="291">
        <f>[5]Druhova!C244</f>
        <v>0</v>
      </c>
      <c r="I249" s="291">
        <f>[5]Druhova!D244</f>
        <v>0</v>
      </c>
      <c r="J249" s="291" t="str">
        <f t="shared" si="8"/>
        <v/>
      </c>
      <c r="K249" s="292" t="str">
        <f t="shared" si="9"/>
        <v/>
      </c>
      <c r="L249" s="260"/>
      <c r="M249" s="260"/>
      <c r="N249" s="260"/>
      <c r="O249" s="260"/>
      <c r="P249" s="260"/>
      <c r="S249" s="261"/>
      <c r="T249" s="261"/>
      <c r="U249" s="261"/>
      <c r="V249" s="261"/>
      <c r="W249" s="261"/>
      <c r="X249" s="261"/>
      <c r="Y249" s="261"/>
      <c r="Z249" s="261"/>
      <c r="AA249" s="261"/>
      <c r="AB249" s="261"/>
    </row>
    <row r="250" spans="1:28" ht="18" customHeight="1">
      <c r="A250" s="1085"/>
      <c r="B250" s="1086"/>
      <c r="C250" s="1061"/>
      <c r="D250" s="1114">
        <v>8211</v>
      </c>
      <c r="E250" s="336" t="s">
        <v>462</v>
      </c>
      <c r="F250" s="288">
        <f>[5]Druhova!G245</f>
        <v>0</v>
      </c>
      <c r="G250" s="288">
        <f>[5]Druhova!B245</f>
        <v>0</v>
      </c>
      <c r="H250" s="288">
        <f>[5]Druhova!C245</f>
        <v>0</v>
      </c>
      <c r="I250" s="288">
        <f>[5]Druhova!D245</f>
        <v>0</v>
      </c>
      <c r="J250" s="288" t="str">
        <f t="shared" si="8"/>
        <v/>
      </c>
      <c r="K250" s="289" t="str">
        <f t="shared" si="9"/>
        <v/>
      </c>
      <c r="L250" s="260"/>
      <c r="M250" s="260"/>
      <c r="N250" s="260"/>
      <c r="O250" s="260"/>
      <c r="P250" s="260"/>
      <c r="S250" s="261"/>
      <c r="T250" s="261"/>
      <c r="U250" s="261"/>
      <c r="V250" s="261"/>
      <c r="W250" s="261"/>
      <c r="X250" s="261"/>
      <c r="Y250" s="261"/>
      <c r="Z250" s="261"/>
      <c r="AA250" s="261"/>
      <c r="AB250" s="261"/>
    </row>
    <row r="251" spans="1:28" ht="28.5" customHeight="1">
      <c r="A251" s="1085"/>
      <c r="B251" s="1086"/>
      <c r="C251" s="1061"/>
      <c r="D251" s="1114">
        <v>8212</v>
      </c>
      <c r="E251" s="336" t="s">
        <v>445</v>
      </c>
      <c r="F251" s="288">
        <f>[5]Druhova!G246</f>
        <v>0</v>
      </c>
      <c r="G251" s="288">
        <f>[5]Druhova!B246</f>
        <v>0</v>
      </c>
      <c r="H251" s="288">
        <f>[5]Druhova!C246</f>
        <v>0</v>
      </c>
      <c r="I251" s="288">
        <f>[5]Druhova!D246</f>
        <v>0</v>
      </c>
      <c r="J251" s="288" t="str">
        <f t="shared" si="8"/>
        <v/>
      </c>
      <c r="K251" s="289" t="str">
        <f t="shared" si="9"/>
        <v/>
      </c>
      <c r="L251" s="260"/>
      <c r="M251" s="260"/>
      <c r="N251" s="260"/>
      <c r="O251" s="260"/>
      <c r="P251" s="260"/>
      <c r="S251" s="261"/>
      <c r="T251" s="261"/>
      <c r="U251" s="261"/>
      <c r="V251" s="261"/>
      <c r="W251" s="261"/>
      <c r="X251" s="261"/>
      <c r="Y251" s="261"/>
      <c r="Z251" s="261"/>
      <c r="AA251" s="261"/>
      <c r="AB251" s="261"/>
    </row>
    <row r="252" spans="1:28" ht="18" customHeight="1">
      <c r="A252" s="1085"/>
      <c r="B252" s="1086"/>
      <c r="C252" s="1061"/>
      <c r="D252" s="1114">
        <v>8213</v>
      </c>
      <c r="E252" s="336" t="s">
        <v>463</v>
      </c>
      <c r="F252" s="288">
        <f>[5]Druhova!G247</f>
        <v>0</v>
      </c>
      <c r="G252" s="288">
        <f>[5]Druhova!B247</f>
        <v>0</v>
      </c>
      <c r="H252" s="288">
        <f>[5]Druhova!C247</f>
        <v>0</v>
      </c>
      <c r="I252" s="288">
        <f>[5]Druhova!D247</f>
        <v>0</v>
      </c>
      <c r="J252" s="288" t="str">
        <f t="shared" si="8"/>
        <v/>
      </c>
      <c r="K252" s="289" t="str">
        <f t="shared" si="9"/>
        <v/>
      </c>
      <c r="L252" s="260"/>
      <c r="M252" s="260"/>
      <c r="N252" s="260"/>
      <c r="O252" s="260"/>
      <c r="P252" s="260"/>
      <c r="S252" s="261"/>
      <c r="T252" s="261"/>
      <c r="U252" s="261"/>
      <c r="V252" s="261"/>
      <c r="W252" s="261"/>
      <c r="X252" s="261"/>
      <c r="Y252" s="261"/>
      <c r="Z252" s="261"/>
      <c r="AA252" s="261"/>
      <c r="AB252" s="261"/>
    </row>
    <row r="253" spans="1:28" ht="28.5" customHeight="1">
      <c r="A253" s="1085"/>
      <c r="B253" s="1086"/>
      <c r="C253" s="1061"/>
      <c r="D253" s="1114">
        <v>8214</v>
      </c>
      <c r="E253" s="336" t="s">
        <v>464</v>
      </c>
      <c r="F253" s="288">
        <f>[5]Druhova!G248</f>
        <v>0</v>
      </c>
      <c r="G253" s="288">
        <f>[5]Druhova!B248</f>
        <v>0</v>
      </c>
      <c r="H253" s="288">
        <f>[5]Druhova!C248</f>
        <v>0</v>
      </c>
      <c r="I253" s="288">
        <f>[5]Druhova!D248</f>
        <v>0</v>
      </c>
      <c r="J253" s="288" t="str">
        <f t="shared" si="8"/>
        <v/>
      </c>
      <c r="K253" s="289" t="str">
        <f t="shared" si="9"/>
        <v/>
      </c>
      <c r="L253" s="260"/>
      <c r="M253" s="260"/>
      <c r="N253" s="260"/>
      <c r="O253" s="260"/>
      <c r="P253" s="260"/>
      <c r="S253" s="261"/>
      <c r="T253" s="261"/>
      <c r="U253" s="261"/>
      <c r="V253" s="261"/>
      <c r="W253" s="261"/>
      <c r="X253" s="261"/>
      <c r="Y253" s="261"/>
      <c r="Z253" s="261"/>
      <c r="AA253" s="261"/>
      <c r="AB253" s="261"/>
    </row>
    <row r="254" spans="1:28" ht="39" customHeight="1">
      <c r="A254" s="1085"/>
      <c r="B254" s="1086"/>
      <c r="C254" s="1061"/>
      <c r="D254" s="1114">
        <v>8215</v>
      </c>
      <c r="E254" s="336" t="s">
        <v>465</v>
      </c>
      <c r="F254" s="288">
        <f>[5]Druhova!G249</f>
        <v>0</v>
      </c>
      <c r="G254" s="288">
        <f>[5]Druhova!B249</f>
        <v>0</v>
      </c>
      <c r="H254" s="288">
        <f>[5]Druhova!C249</f>
        <v>0</v>
      </c>
      <c r="I254" s="288">
        <f>[5]Druhova!D249</f>
        <v>0</v>
      </c>
      <c r="J254" s="288" t="str">
        <f t="shared" si="8"/>
        <v/>
      </c>
      <c r="K254" s="289" t="str">
        <f t="shared" si="9"/>
        <v/>
      </c>
      <c r="L254" s="260"/>
      <c r="M254" s="260"/>
      <c r="N254" s="260"/>
      <c r="O254" s="260"/>
      <c r="P254" s="260"/>
      <c r="S254" s="261"/>
      <c r="T254" s="261"/>
      <c r="U254" s="261"/>
      <c r="V254" s="261"/>
      <c r="W254" s="261"/>
      <c r="X254" s="261"/>
      <c r="Y254" s="261"/>
      <c r="Z254" s="261"/>
      <c r="AA254" s="261"/>
      <c r="AB254" s="261"/>
    </row>
    <row r="255" spans="1:28" ht="29.25" customHeight="1">
      <c r="A255" s="1085"/>
      <c r="B255" s="1086"/>
      <c r="C255" s="1061"/>
      <c r="D255" s="1114">
        <v>8216</v>
      </c>
      <c r="E255" s="336" t="s">
        <v>466</v>
      </c>
      <c r="F255" s="288">
        <f>[5]Druhova!G250</f>
        <v>0</v>
      </c>
      <c r="G255" s="288">
        <f>[5]Druhova!B250</f>
        <v>0</v>
      </c>
      <c r="H255" s="288">
        <f>[5]Druhova!C250</f>
        <v>0</v>
      </c>
      <c r="I255" s="288">
        <f>[5]Druhova!D250</f>
        <v>0</v>
      </c>
      <c r="J255" s="288" t="str">
        <f t="shared" si="8"/>
        <v/>
      </c>
      <c r="K255" s="289" t="str">
        <f t="shared" si="9"/>
        <v/>
      </c>
      <c r="L255" s="260"/>
      <c r="M255" s="260"/>
      <c r="N255" s="260"/>
      <c r="O255" s="260"/>
      <c r="P255" s="260"/>
      <c r="S255" s="261"/>
      <c r="T255" s="261"/>
      <c r="U255" s="261"/>
      <c r="V255" s="261"/>
      <c r="W255" s="261"/>
      <c r="X255" s="261"/>
      <c r="Y255" s="261"/>
      <c r="Z255" s="261"/>
      <c r="AA255" s="261"/>
      <c r="AB255" s="261"/>
    </row>
    <row r="256" spans="1:28" ht="20.100000000000001" customHeight="1">
      <c r="A256" s="1085"/>
      <c r="B256" s="1086"/>
      <c r="C256" s="1061"/>
      <c r="D256" s="1115">
        <v>8217</v>
      </c>
      <c r="E256" s="338" t="s">
        <v>450</v>
      </c>
      <c r="F256" s="288">
        <f>[5]Druhova!G251</f>
        <v>0</v>
      </c>
      <c r="G256" s="288">
        <f>[5]Druhova!B251</f>
        <v>0</v>
      </c>
      <c r="H256" s="288">
        <f>[5]Druhova!C251</f>
        <v>0</v>
      </c>
      <c r="I256" s="288">
        <f>[5]Druhova!D251</f>
        <v>0</v>
      </c>
      <c r="J256" s="288" t="str">
        <f t="shared" si="8"/>
        <v/>
      </c>
      <c r="K256" s="289" t="str">
        <f t="shared" si="9"/>
        <v/>
      </c>
      <c r="L256" s="260"/>
      <c r="M256" s="260"/>
      <c r="N256" s="260"/>
      <c r="O256" s="260"/>
      <c r="P256" s="260"/>
      <c r="S256" s="261"/>
      <c r="T256" s="261"/>
      <c r="U256" s="261"/>
      <c r="V256" s="261"/>
      <c r="W256" s="261"/>
      <c r="X256" s="261"/>
      <c r="Y256" s="261"/>
      <c r="Z256" s="261"/>
      <c r="AA256" s="261"/>
      <c r="AB256" s="261"/>
    </row>
    <row r="257" spans="1:28" ht="18" customHeight="1">
      <c r="A257" s="1085"/>
      <c r="B257" s="1086"/>
      <c r="C257" s="1061"/>
      <c r="D257" s="1115">
        <v>8218</v>
      </c>
      <c r="E257" s="338" t="s">
        <v>467</v>
      </c>
      <c r="F257" s="288">
        <f>[5]Druhova!G252</f>
        <v>0</v>
      </c>
      <c r="G257" s="288">
        <f>[5]Druhova!B252</f>
        <v>0</v>
      </c>
      <c r="H257" s="288">
        <f>[5]Druhova!C252</f>
        <v>0</v>
      </c>
      <c r="I257" s="288">
        <f>[5]Druhova!D252</f>
        <v>0</v>
      </c>
      <c r="J257" s="288" t="str">
        <f t="shared" si="8"/>
        <v/>
      </c>
      <c r="K257" s="289" t="str">
        <f t="shared" si="9"/>
        <v/>
      </c>
      <c r="L257" s="260"/>
      <c r="M257" s="260"/>
      <c r="N257" s="260"/>
      <c r="O257" s="260"/>
      <c r="P257" s="260"/>
      <c r="S257" s="261"/>
      <c r="T257" s="261"/>
      <c r="U257" s="261"/>
      <c r="V257" s="261"/>
      <c r="W257" s="261"/>
      <c r="X257" s="261"/>
      <c r="Y257" s="261"/>
      <c r="Z257" s="261"/>
      <c r="AA257" s="261"/>
      <c r="AB257" s="261"/>
    </row>
    <row r="258" spans="1:28" ht="19.5" customHeight="1">
      <c r="A258" s="1085"/>
      <c r="B258" s="1086"/>
      <c r="C258" s="1116">
        <v>821</v>
      </c>
      <c r="D258" s="1115"/>
      <c r="E258" s="337" t="s">
        <v>452</v>
      </c>
      <c r="F258" s="288">
        <f>[5]Druhova!G253</f>
        <v>0</v>
      </c>
      <c r="G258" s="288">
        <f>[5]Druhova!B253</f>
        <v>0</v>
      </c>
      <c r="H258" s="288">
        <f>[5]Druhova!C253</f>
        <v>0</v>
      </c>
      <c r="I258" s="288">
        <f>[5]Druhova!D253</f>
        <v>0</v>
      </c>
      <c r="J258" s="288" t="str">
        <f t="shared" si="8"/>
        <v/>
      </c>
      <c r="K258" s="289" t="str">
        <f t="shared" si="9"/>
        <v/>
      </c>
      <c r="L258" s="260"/>
      <c r="M258" s="260"/>
      <c r="N258" s="260"/>
      <c r="O258" s="260"/>
      <c r="P258" s="260"/>
      <c r="S258" s="261"/>
      <c r="T258" s="261"/>
      <c r="U258" s="261"/>
      <c r="V258" s="261"/>
      <c r="W258" s="261"/>
      <c r="X258" s="261"/>
      <c r="Y258" s="261"/>
      <c r="Z258" s="261"/>
      <c r="AA258" s="261"/>
      <c r="AB258" s="261"/>
    </row>
    <row r="259" spans="1:28" ht="19.5" customHeight="1">
      <c r="A259" s="1085"/>
      <c r="B259" s="1086"/>
      <c r="C259" s="1116"/>
      <c r="D259" s="1115">
        <v>8221</v>
      </c>
      <c r="E259" s="337" t="s">
        <v>468</v>
      </c>
      <c r="F259" s="288">
        <f>[5]Druhova!G254</f>
        <v>0</v>
      </c>
      <c r="G259" s="288">
        <f>[5]Druhova!B254</f>
        <v>0</v>
      </c>
      <c r="H259" s="288">
        <f>[5]Druhova!C254</f>
        <v>0</v>
      </c>
      <c r="I259" s="288">
        <f>[5]Druhova!D254</f>
        <v>0</v>
      </c>
      <c r="J259" s="288" t="str">
        <f t="shared" si="8"/>
        <v/>
      </c>
      <c r="K259" s="289" t="str">
        <f t="shared" si="9"/>
        <v/>
      </c>
      <c r="L259" s="260"/>
      <c r="M259" s="260"/>
      <c r="N259" s="260"/>
      <c r="O259" s="260"/>
      <c r="P259" s="260"/>
      <c r="S259" s="261"/>
      <c r="T259" s="261"/>
      <c r="U259" s="261"/>
      <c r="V259" s="261"/>
      <c r="W259" s="261"/>
      <c r="X259" s="261"/>
      <c r="Y259" s="261"/>
      <c r="Z259" s="261"/>
      <c r="AA259" s="261"/>
      <c r="AB259" s="261"/>
    </row>
    <row r="260" spans="1:28" ht="24.75" customHeight="1">
      <c r="A260" s="1085"/>
      <c r="B260" s="1086"/>
      <c r="C260" s="1116"/>
      <c r="D260" s="1115">
        <v>8222</v>
      </c>
      <c r="E260" s="337" t="s">
        <v>454</v>
      </c>
      <c r="F260" s="288">
        <f>[5]Druhova!G255</f>
        <v>0</v>
      </c>
      <c r="G260" s="288">
        <f>[5]Druhova!B255</f>
        <v>0</v>
      </c>
      <c r="H260" s="288">
        <f>[5]Druhova!C255</f>
        <v>0</v>
      </c>
      <c r="I260" s="288">
        <f>[5]Druhova!D255</f>
        <v>0</v>
      </c>
      <c r="J260" s="288" t="str">
        <f t="shared" si="8"/>
        <v/>
      </c>
      <c r="K260" s="289" t="str">
        <f t="shared" si="9"/>
        <v/>
      </c>
      <c r="L260" s="260"/>
      <c r="M260" s="260"/>
      <c r="N260" s="260"/>
      <c r="O260" s="260"/>
      <c r="P260" s="260"/>
      <c r="S260" s="261"/>
      <c r="T260" s="261"/>
      <c r="U260" s="261"/>
      <c r="V260" s="261"/>
      <c r="W260" s="261"/>
      <c r="X260" s="261"/>
      <c r="Y260" s="261"/>
      <c r="Z260" s="261"/>
      <c r="AA260" s="261"/>
      <c r="AB260" s="261"/>
    </row>
    <row r="261" spans="1:28" ht="24.95" customHeight="1">
      <c r="A261" s="1085"/>
      <c r="B261" s="1086"/>
      <c r="C261" s="1061"/>
      <c r="D261" s="1114">
        <v>8223</v>
      </c>
      <c r="E261" s="336" t="s">
        <v>469</v>
      </c>
      <c r="F261" s="288">
        <f>[5]Druhova!G256</f>
        <v>0</v>
      </c>
      <c r="G261" s="288">
        <f>[5]Druhova!B256</f>
        <v>0</v>
      </c>
      <c r="H261" s="288">
        <f>[5]Druhova!C256</f>
        <v>0</v>
      </c>
      <c r="I261" s="288">
        <f>[5]Druhova!D256</f>
        <v>0</v>
      </c>
      <c r="J261" s="288" t="str">
        <f t="shared" si="8"/>
        <v/>
      </c>
      <c r="K261" s="289" t="str">
        <f t="shared" si="9"/>
        <v/>
      </c>
      <c r="L261" s="260"/>
      <c r="M261" s="260"/>
      <c r="N261" s="260"/>
      <c r="O261" s="260"/>
      <c r="P261" s="260"/>
      <c r="S261" s="261"/>
      <c r="T261" s="261"/>
      <c r="U261" s="261"/>
      <c r="V261" s="261"/>
      <c r="W261" s="261"/>
      <c r="X261" s="261"/>
      <c r="Y261" s="261"/>
      <c r="Z261" s="261"/>
      <c r="AA261" s="261"/>
      <c r="AB261" s="261"/>
    </row>
    <row r="262" spans="1:28" ht="24">
      <c r="A262" s="1085"/>
      <c r="B262" s="1086"/>
      <c r="C262" s="1061"/>
      <c r="D262" s="1114">
        <v>8224</v>
      </c>
      <c r="E262" s="336" t="s">
        <v>456</v>
      </c>
      <c r="F262" s="288">
        <f>[5]Druhova!G257</f>
        <v>0</v>
      </c>
      <c r="G262" s="288">
        <f>[5]Druhova!B257</f>
        <v>0</v>
      </c>
      <c r="H262" s="288">
        <f>[5]Druhova!C257</f>
        <v>0</v>
      </c>
      <c r="I262" s="288">
        <f>[5]Druhova!D257</f>
        <v>0</v>
      </c>
      <c r="J262" s="288" t="str">
        <f t="shared" si="8"/>
        <v/>
      </c>
      <c r="K262" s="289" t="str">
        <f t="shared" si="9"/>
        <v/>
      </c>
      <c r="L262" s="260"/>
      <c r="M262" s="260"/>
      <c r="N262" s="260"/>
      <c r="O262" s="260"/>
      <c r="P262" s="260"/>
      <c r="S262" s="261"/>
      <c r="T262" s="261"/>
      <c r="U262" s="261"/>
      <c r="V262" s="261"/>
      <c r="W262" s="261"/>
      <c r="X262" s="261"/>
      <c r="Y262" s="261"/>
      <c r="Z262" s="261"/>
      <c r="AA262" s="261"/>
      <c r="AB262" s="261"/>
    </row>
    <row r="263" spans="1:28" ht="29.25" customHeight="1">
      <c r="A263" s="1085"/>
      <c r="B263" s="1086"/>
      <c r="C263" s="1061"/>
      <c r="D263" s="1114">
        <v>8225</v>
      </c>
      <c r="E263" s="336" t="s">
        <v>457</v>
      </c>
      <c r="F263" s="288">
        <f>[5]Druhova!G258</f>
        <v>0</v>
      </c>
      <c r="G263" s="288">
        <f>[5]Druhova!B258</f>
        <v>0</v>
      </c>
      <c r="H263" s="288">
        <f>[5]Druhova!C258</f>
        <v>0</v>
      </c>
      <c r="I263" s="288">
        <f>[5]Druhova!D258</f>
        <v>0</v>
      </c>
      <c r="J263" s="288" t="str">
        <f t="shared" si="8"/>
        <v/>
      </c>
      <c r="K263" s="289" t="str">
        <f t="shared" si="9"/>
        <v/>
      </c>
      <c r="L263" s="260"/>
      <c r="M263" s="260"/>
      <c r="N263" s="260"/>
      <c r="O263" s="260"/>
      <c r="P263" s="260"/>
      <c r="S263" s="261"/>
      <c r="T263" s="261"/>
      <c r="U263" s="261"/>
      <c r="V263" s="261"/>
      <c r="W263" s="261"/>
      <c r="X263" s="261"/>
      <c r="Y263" s="261"/>
      <c r="Z263" s="261"/>
      <c r="AA263" s="261"/>
      <c r="AB263" s="261"/>
    </row>
    <row r="264" spans="1:28" ht="19.5" customHeight="1">
      <c r="A264" s="1085"/>
      <c r="B264" s="1086"/>
      <c r="C264" s="1061"/>
      <c r="D264" s="1114">
        <v>8227</v>
      </c>
      <c r="E264" s="336" t="s">
        <v>458</v>
      </c>
      <c r="F264" s="288">
        <f>[5]Druhova!G259</f>
        <v>0</v>
      </c>
      <c r="G264" s="288">
        <f>[5]Druhova!B259</f>
        <v>0</v>
      </c>
      <c r="H264" s="288">
        <f>[5]Druhova!C259</f>
        <v>0</v>
      </c>
      <c r="I264" s="288">
        <f>[5]Druhova!D259</f>
        <v>0</v>
      </c>
      <c r="J264" s="288" t="str">
        <f t="shared" si="8"/>
        <v/>
      </c>
      <c r="K264" s="289" t="str">
        <f t="shared" si="9"/>
        <v/>
      </c>
      <c r="L264" s="260"/>
      <c r="M264" s="260"/>
      <c r="N264" s="260"/>
      <c r="O264" s="260"/>
      <c r="P264" s="260"/>
      <c r="S264" s="261"/>
      <c r="T264" s="261"/>
      <c r="U264" s="261"/>
      <c r="V264" s="261"/>
      <c r="W264" s="261"/>
      <c r="X264" s="261"/>
      <c r="Y264" s="261"/>
      <c r="Z264" s="261"/>
      <c r="AA264" s="261"/>
      <c r="AB264" s="261"/>
    </row>
    <row r="265" spans="1:28" ht="19.5" customHeight="1">
      <c r="A265" s="1085"/>
      <c r="B265" s="1086"/>
      <c r="C265" s="1061"/>
      <c r="D265" s="1114">
        <v>8228</v>
      </c>
      <c r="E265" s="336" t="s">
        <v>459</v>
      </c>
      <c r="F265" s="288">
        <f>[5]Druhova!G260</f>
        <v>0</v>
      </c>
      <c r="G265" s="288">
        <f>[5]Druhova!B260</f>
        <v>0</v>
      </c>
      <c r="H265" s="288">
        <f>[5]Druhova!C260</f>
        <v>0</v>
      </c>
      <c r="I265" s="288">
        <f>[5]Druhova!D260</f>
        <v>0</v>
      </c>
      <c r="J265" s="288" t="str">
        <f t="shared" si="8"/>
        <v/>
      </c>
      <c r="K265" s="289" t="str">
        <f t="shared" si="9"/>
        <v/>
      </c>
      <c r="L265" s="260"/>
      <c r="M265" s="260"/>
      <c r="N265" s="260"/>
      <c r="O265" s="260"/>
      <c r="P265" s="260"/>
      <c r="S265" s="261"/>
      <c r="T265" s="261"/>
      <c r="U265" s="261"/>
      <c r="V265" s="261"/>
      <c r="W265" s="261"/>
      <c r="X265" s="261"/>
      <c r="Y265" s="261"/>
      <c r="Z265" s="261"/>
      <c r="AA265" s="261"/>
      <c r="AB265" s="261"/>
    </row>
    <row r="266" spans="1:28">
      <c r="A266" s="1085"/>
      <c r="B266" s="1086"/>
      <c r="C266" s="1061">
        <v>822</v>
      </c>
      <c r="D266" s="1114"/>
      <c r="E266" s="336" t="s">
        <v>470</v>
      </c>
      <c r="F266" s="288">
        <f>[5]Druhova!G261</f>
        <v>0</v>
      </c>
      <c r="G266" s="288">
        <f>[5]Druhova!B261</f>
        <v>0</v>
      </c>
      <c r="H266" s="288">
        <f>[5]Druhova!C261</f>
        <v>0</v>
      </c>
      <c r="I266" s="288">
        <f>[5]Druhova!D261</f>
        <v>0</v>
      </c>
      <c r="J266" s="288" t="str">
        <f t="shared" si="8"/>
        <v/>
      </c>
      <c r="K266" s="289" t="str">
        <f t="shared" si="9"/>
        <v/>
      </c>
      <c r="L266" s="260"/>
      <c r="M266" s="260"/>
      <c r="N266" s="260"/>
      <c r="O266" s="260"/>
      <c r="P266" s="260"/>
      <c r="S266" s="261"/>
      <c r="T266" s="261"/>
      <c r="U266" s="261"/>
      <c r="V266" s="261"/>
      <c r="W266" s="261"/>
      <c r="X266" s="261"/>
      <c r="Y266" s="261"/>
      <c r="Z266" s="261"/>
      <c r="AA266" s="261"/>
      <c r="AB266" s="261"/>
    </row>
    <row r="267" spans="1:28">
      <c r="A267" s="1134"/>
      <c r="B267" s="1086">
        <v>82</v>
      </c>
      <c r="C267" s="1061"/>
      <c r="D267" s="1114"/>
      <c r="E267" s="326" t="s">
        <v>471</v>
      </c>
      <c r="F267" s="291">
        <f>[5]Druhova!G262</f>
        <v>0</v>
      </c>
      <c r="G267" s="291">
        <f>[5]Druhova!B262</f>
        <v>0</v>
      </c>
      <c r="H267" s="291">
        <f>[5]Druhova!C262</f>
        <v>0</v>
      </c>
      <c r="I267" s="291">
        <f>[5]Druhova!D262</f>
        <v>0</v>
      </c>
      <c r="J267" s="291" t="str">
        <f t="shared" si="8"/>
        <v/>
      </c>
      <c r="K267" s="292" t="str">
        <f t="shared" si="9"/>
        <v/>
      </c>
      <c r="L267" s="260"/>
      <c r="M267" s="260"/>
      <c r="N267" s="260"/>
      <c r="O267" s="260"/>
      <c r="P267" s="260"/>
      <c r="S267" s="261"/>
      <c r="T267" s="261"/>
      <c r="U267" s="261"/>
      <c r="V267" s="261"/>
      <c r="W267" s="261"/>
      <c r="X267" s="261"/>
      <c r="Y267" s="261"/>
      <c r="Z267" s="261"/>
      <c r="AA267" s="261"/>
      <c r="AB267" s="261"/>
    </row>
    <row r="268" spans="1:28" ht="24">
      <c r="A268" s="1098"/>
      <c r="B268" s="1118"/>
      <c r="C268" s="1061"/>
      <c r="D268" s="1119">
        <v>8300</v>
      </c>
      <c r="E268" s="336" t="s">
        <v>472</v>
      </c>
      <c r="F268" s="288">
        <f>[5]Druhova!G263</f>
        <v>0</v>
      </c>
      <c r="G268" s="288">
        <f>[5]Druhova!B263</f>
        <v>0</v>
      </c>
      <c r="H268" s="288">
        <f>[5]Druhova!C263</f>
        <v>0</v>
      </c>
      <c r="I268" s="288">
        <f>[5]Druhova!D263</f>
        <v>0</v>
      </c>
      <c r="J268" s="288" t="str">
        <f t="shared" si="8"/>
        <v/>
      </c>
      <c r="K268" s="289" t="str">
        <f t="shared" si="9"/>
        <v/>
      </c>
      <c r="L268" s="260"/>
      <c r="M268" s="260"/>
      <c r="N268" s="260"/>
      <c r="O268" s="260"/>
      <c r="P268" s="260"/>
      <c r="S268" s="261"/>
      <c r="T268" s="261"/>
      <c r="U268" s="261"/>
      <c r="V268" s="261"/>
      <c r="W268" s="261"/>
      <c r="X268" s="261"/>
      <c r="Y268" s="261"/>
      <c r="Z268" s="261"/>
      <c r="AA268" s="261"/>
      <c r="AB268" s="261"/>
    </row>
    <row r="269" spans="1:28" ht="24">
      <c r="A269" s="1117"/>
      <c r="B269" s="1118"/>
      <c r="C269" s="1061"/>
      <c r="D269" s="1119">
        <v>8301</v>
      </c>
      <c r="E269" s="336" t="s">
        <v>473</v>
      </c>
      <c r="F269" s="288">
        <f>[5]Druhova!G264</f>
        <v>0</v>
      </c>
      <c r="G269" s="288">
        <f>[5]Druhova!B264</f>
        <v>0</v>
      </c>
      <c r="H269" s="288">
        <f>[5]Druhova!C264</f>
        <v>0</v>
      </c>
      <c r="I269" s="288">
        <f>[5]Druhova!D264</f>
        <v>0</v>
      </c>
      <c r="J269" s="288" t="str">
        <f t="shared" si="8"/>
        <v/>
      </c>
      <c r="K269" s="289" t="str">
        <f t="shared" si="9"/>
        <v/>
      </c>
      <c r="L269" s="260"/>
      <c r="M269" s="260"/>
      <c r="N269" s="260"/>
      <c r="O269" s="260"/>
      <c r="P269" s="260"/>
      <c r="S269" s="261"/>
      <c r="T269" s="261"/>
      <c r="U269" s="261"/>
      <c r="V269" s="261"/>
      <c r="W269" s="261"/>
      <c r="X269" s="261"/>
      <c r="Y269" s="261"/>
      <c r="Z269" s="261"/>
      <c r="AA269" s="261"/>
      <c r="AB269" s="261"/>
    </row>
    <row r="270" spans="1:28" ht="24">
      <c r="A270" s="1117"/>
      <c r="B270" s="1118"/>
      <c r="C270" s="1061"/>
      <c r="D270" s="1119">
        <v>8302</v>
      </c>
      <c r="E270" s="336" t="s">
        <v>474</v>
      </c>
      <c r="F270" s="288">
        <f>[5]Druhova!G265</f>
        <v>0</v>
      </c>
      <c r="G270" s="288">
        <f>[5]Druhova!B265</f>
        <v>0</v>
      </c>
      <c r="H270" s="288">
        <f>[5]Druhova!C265</f>
        <v>0</v>
      </c>
      <c r="I270" s="288">
        <f>[5]Druhova!D265</f>
        <v>0</v>
      </c>
      <c r="J270" s="288" t="str">
        <f t="shared" si="8"/>
        <v/>
      </c>
      <c r="K270" s="289" t="str">
        <f t="shared" si="9"/>
        <v/>
      </c>
      <c r="L270" s="260"/>
      <c r="M270" s="260"/>
      <c r="N270" s="260"/>
      <c r="O270" s="260"/>
      <c r="P270" s="260"/>
      <c r="S270" s="261"/>
      <c r="T270" s="261"/>
      <c r="U270" s="261"/>
      <c r="V270" s="261"/>
      <c r="W270" s="261"/>
      <c r="X270" s="261"/>
      <c r="Y270" s="261"/>
      <c r="Z270" s="261"/>
      <c r="AA270" s="261"/>
      <c r="AB270" s="261"/>
    </row>
    <row r="271" spans="1:28" ht="24">
      <c r="A271" s="1120"/>
      <c r="B271" s="1121"/>
      <c r="C271" s="1122">
        <v>830</v>
      </c>
      <c r="D271" s="1123"/>
      <c r="E271" s="339" t="s">
        <v>475</v>
      </c>
      <c r="F271" s="288">
        <f>[5]Druhova!G266</f>
        <v>0</v>
      </c>
      <c r="G271" s="288">
        <f>[5]Druhova!B266</f>
        <v>0</v>
      </c>
      <c r="H271" s="288">
        <f>[5]Druhova!C266</f>
        <v>0</v>
      </c>
      <c r="I271" s="288">
        <f>[5]Druhova!D266</f>
        <v>0</v>
      </c>
      <c r="J271" s="288" t="str">
        <f t="shared" si="8"/>
        <v/>
      </c>
      <c r="K271" s="289" t="str">
        <f t="shared" si="9"/>
        <v/>
      </c>
      <c r="L271" s="260"/>
      <c r="M271" s="260"/>
      <c r="N271" s="260"/>
      <c r="O271" s="260"/>
      <c r="P271" s="260"/>
      <c r="S271" s="261"/>
      <c r="T271" s="261"/>
      <c r="U271" s="261"/>
      <c r="V271" s="261"/>
      <c r="W271" s="261"/>
      <c r="X271" s="261"/>
      <c r="Y271" s="261"/>
      <c r="Z271" s="261"/>
      <c r="AA271" s="261"/>
      <c r="AB271" s="261"/>
    </row>
    <row r="272" spans="1:28" ht="24">
      <c r="A272" s="1117"/>
      <c r="B272" s="1118">
        <v>83</v>
      </c>
      <c r="C272" s="1061"/>
      <c r="D272" s="1119"/>
      <c r="E272" s="340" t="s">
        <v>475</v>
      </c>
      <c r="F272" s="291">
        <f>[5]Druhova!G267</f>
        <v>0</v>
      </c>
      <c r="G272" s="291">
        <f>[5]Druhova!B267</f>
        <v>0</v>
      </c>
      <c r="H272" s="291">
        <f>[5]Druhova!C267</f>
        <v>0</v>
      </c>
      <c r="I272" s="291">
        <f>[5]Druhova!D267</f>
        <v>0</v>
      </c>
      <c r="J272" s="291" t="str">
        <f t="shared" si="8"/>
        <v/>
      </c>
      <c r="K272" s="292" t="str">
        <f t="shared" si="9"/>
        <v/>
      </c>
      <c r="L272" s="260"/>
      <c r="M272" s="260"/>
      <c r="N272" s="260"/>
      <c r="O272" s="260"/>
      <c r="P272" s="260"/>
      <c r="S272" s="261"/>
      <c r="T272" s="261"/>
      <c r="U272" s="261"/>
      <c r="V272" s="261"/>
      <c r="W272" s="261"/>
      <c r="X272" s="261"/>
      <c r="Y272" s="261"/>
      <c r="Z272" s="261"/>
      <c r="AA272" s="261"/>
      <c r="AB272" s="261"/>
    </row>
    <row r="273" spans="1:28">
      <c r="A273" s="1117"/>
      <c r="B273" s="1118"/>
      <c r="C273" s="1061"/>
      <c r="D273" s="1119">
        <v>8413</v>
      </c>
      <c r="E273" s="339" t="s">
        <v>463</v>
      </c>
      <c r="F273" s="341">
        <f>[5]Druhova!G268</f>
        <v>0</v>
      </c>
      <c r="G273" s="288">
        <f>[5]Druhova!B268</f>
        <v>0</v>
      </c>
      <c r="H273" s="288">
        <f>[5]Druhova!C268</f>
        <v>0</v>
      </c>
      <c r="I273" s="288">
        <f>[5]Druhova!D268</f>
        <v>0</v>
      </c>
      <c r="J273" s="288" t="str">
        <f t="shared" si="8"/>
        <v/>
      </c>
      <c r="K273" s="289" t="str">
        <f t="shared" si="9"/>
        <v/>
      </c>
      <c r="L273" s="260"/>
      <c r="M273" s="260"/>
      <c r="N273" s="260"/>
      <c r="O273" s="260"/>
      <c r="P273" s="260"/>
      <c r="S273" s="261"/>
      <c r="T273" s="261"/>
      <c r="U273" s="261"/>
      <c r="V273" s="261"/>
      <c r="W273" s="261"/>
      <c r="X273" s="261"/>
      <c r="Y273" s="261"/>
      <c r="Z273" s="261"/>
      <c r="AA273" s="261"/>
      <c r="AB273" s="261"/>
    </row>
    <row r="274" spans="1:28" ht="24">
      <c r="A274" s="1117"/>
      <c r="B274" s="1118"/>
      <c r="C274" s="1061"/>
      <c r="D274" s="1119">
        <v>8414</v>
      </c>
      <c r="E274" s="339" t="s">
        <v>464</v>
      </c>
      <c r="F274" s="341">
        <f>[5]Druhova!G269</f>
        <v>0</v>
      </c>
      <c r="G274" s="288">
        <f>[5]Druhova!B269</f>
        <v>0</v>
      </c>
      <c r="H274" s="288">
        <f>[5]Druhova!C269</f>
        <v>0</v>
      </c>
      <c r="I274" s="288">
        <f>[5]Druhova!D269</f>
        <v>0</v>
      </c>
      <c r="J274" s="288" t="str">
        <f t="shared" si="8"/>
        <v/>
      </c>
      <c r="K274" s="289" t="str">
        <f t="shared" si="9"/>
        <v/>
      </c>
      <c r="L274" s="260"/>
      <c r="M274" s="260"/>
      <c r="N274" s="260"/>
      <c r="O274" s="260"/>
      <c r="P274" s="260"/>
      <c r="S274" s="261"/>
      <c r="T274" s="261"/>
      <c r="U274" s="261"/>
      <c r="V274" s="261"/>
      <c r="W274" s="261"/>
      <c r="X274" s="261"/>
      <c r="Y274" s="261"/>
      <c r="Z274" s="261"/>
      <c r="AA274" s="261"/>
      <c r="AB274" s="261"/>
    </row>
    <row r="275" spans="1:28" ht="24">
      <c r="A275" s="1117"/>
      <c r="B275" s="1118"/>
      <c r="C275" s="1061"/>
      <c r="D275" s="1119">
        <v>8417</v>
      </c>
      <c r="E275" s="339" t="s">
        <v>476</v>
      </c>
      <c r="F275" s="341">
        <f>[5]Druhova!G270</f>
        <v>0</v>
      </c>
      <c r="G275" s="288">
        <f>[5]Druhova!B270</f>
        <v>0</v>
      </c>
      <c r="H275" s="288">
        <f>[5]Druhova!C270</f>
        <v>0</v>
      </c>
      <c r="I275" s="288">
        <f>[5]Druhova!D270</f>
        <v>0</v>
      </c>
      <c r="J275" s="288" t="str">
        <f t="shared" si="8"/>
        <v/>
      </c>
      <c r="K275" s="289" t="str">
        <f t="shared" si="9"/>
        <v/>
      </c>
      <c r="L275" s="260"/>
      <c r="M275" s="260"/>
      <c r="N275" s="260"/>
      <c r="O275" s="260"/>
      <c r="P275" s="260"/>
      <c r="S275" s="261"/>
      <c r="T275" s="261"/>
      <c r="U275" s="261"/>
      <c r="V275" s="261"/>
      <c r="W275" s="261"/>
      <c r="X275" s="261"/>
      <c r="Y275" s="261"/>
      <c r="Z275" s="261"/>
      <c r="AA275" s="261"/>
      <c r="AB275" s="261"/>
    </row>
    <row r="276" spans="1:28" ht="24">
      <c r="A276" s="1117"/>
      <c r="B276" s="1118"/>
      <c r="C276" s="1061"/>
      <c r="D276" s="1119">
        <v>8418</v>
      </c>
      <c r="E276" s="339" t="s">
        <v>477</v>
      </c>
      <c r="F276" s="341">
        <f>[5]Druhova!G271</f>
        <v>0</v>
      </c>
      <c r="G276" s="288">
        <f>[5]Druhova!B271</f>
        <v>0</v>
      </c>
      <c r="H276" s="288">
        <f>[5]Druhova!C271</f>
        <v>0</v>
      </c>
      <c r="I276" s="288">
        <f>[5]Druhova!D271</f>
        <v>0</v>
      </c>
      <c r="J276" s="288" t="str">
        <f t="shared" si="8"/>
        <v/>
      </c>
      <c r="K276" s="289" t="str">
        <f t="shared" si="9"/>
        <v/>
      </c>
      <c r="L276" s="260"/>
      <c r="M276" s="260"/>
      <c r="N276" s="260"/>
      <c r="O276" s="260"/>
      <c r="P276" s="260"/>
      <c r="S276" s="261"/>
      <c r="T276" s="261"/>
      <c r="U276" s="261"/>
      <c r="V276" s="261"/>
      <c r="W276" s="261"/>
      <c r="X276" s="261"/>
      <c r="Y276" s="261"/>
      <c r="Z276" s="261"/>
      <c r="AA276" s="261"/>
      <c r="AB276" s="261"/>
    </row>
    <row r="277" spans="1:28" ht="24">
      <c r="A277" s="1117"/>
      <c r="B277" s="1118"/>
      <c r="C277" s="1061">
        <v>841</v>
      </c>
      <c r="D277" s="1119"/>
      <c r="E277" s="339" t="s">
        <v>478</v>
      </c>
      <c r="F277" s="341">
        <f>[5]Druhova!G272</f>
        <v>0</v>
      </c>
      <c r="G277" s="288">
        <f>[5]Druhova!B272</f>
        <v>0</v>
      </c>
      <c r="H277" s="288">
        <f>[5]Druhova!C272</f>
        <v>0</v>
      </c>
      <c r="I277" s="288">
        <f>[5]Druhova!D272</f>
        <v>0</v>
      </c>
      <c r="J277" s="288" t="str">
        <f t="shared" si="8"/>
        <v/>
      </c>
      <c r="K277" s="289" t="str">
        <f t="shared" si="9"/>
        <v/>
      </c>
      <c r="L277" s="260"/>
      <c r="M277" s="260"/>
      <c r="N277" s="260"/>
      <c r="O277" s="260"/>
      <c r="P277" s="260"/>
      <c r="S277" s="261"/>
      <c r="T277" s="261"/>
      <c r="U277" s="261"/>
      <c r="V277" s="261"/>
      <c r="W277" s="261"/>
      <c r="X277" s="261"/>
      <c r="Y277" s="261"/>
      <c r="Z277" s="261"/>
      <c r="AA277" s="261"/>
      <c r="AB277" s="261"/>
    </row>
    <row r="278" spans="1:28" ht="24">
      <c r="A278" s="1117"/>
      <c r="B278" s="1118"/>
      <c r="C278" s="1061"/>
      <c r="D278" s="1119">
        <v>8427</v>
      </c>
      <c r="E278" s="339" t="s">
        <v>479</v>
      </c>
      <c r="F278" s="341">
        <f>[5]Druhova!G273</f>
        <v>0</v>
      </c>
      <c r="G278" s="288">
        <f>[5]Druhova!B273</f>
        <v>0</v>
      </c>
      <c r="H278" s="288">
        <f>[5]Druhova!C273</f>
        <v>0</v>
      </c>
      <c r="I278" s="288">
        <f>[5]Druhova!D273</f>
        <v>0</v>
      </c>
      <c r="J278" s="288" t="str">
        <f t="shared" si="8"/>
        <v/>
      </c>
      <c r="K278" s="289" t="str">
        <f t="shared" si="9"/>
        <v/>
      </c>
      <c r="L278" s="260"/>
      <c r="M278" s="260"/>
      <c r="N278" s="260"/>
      <c r="O278" s="260"/>
      <c r="P278" s="260"/>
      <c r="S278" s="261"/>
      <c r="T278" s="261"/>
      <c r="U278" s="261"/>
      <c r="V278" s="261"/>
      <c r="W278" s="261"/>
      <c r="X278" s="261"/>
      <c r="Y278" s="261"/>
      <c r="Z278" s="261"/>
      <c r="AA278" s="261"/>
      <c r="AB278" s="261"/>
    </row>
    <row r="279" spans="1:28" ht="24">
      <c r="A279" s="1117"/>
      <c r="B279" s="1118"/>
      <c r="C279" s="1061"/>
      <c r="D279" s="1119">
        <v>8428</v>
      </c>
      <c r="E279" s="339" t="s">
        <v>480</v>
      </c>
      <c r="F279" s="341">
        <f>[5]Druhova!G274</f>
        <v>0</v>
      </c>
      <c r="G279" s="288">
        <f>[5]Druhova!B274</f>
        <v>0</v>
      </c>
      <c r="H279" s="288">
        <f>[5]Druhova!C274</f>
        <v>0</v>
      </c>
      <c r="I279" s="288">
        <f>[5]Druhova!D274</f>
        <v>0</v>
      </c>
      <c r="J279" s="288" t="str">
        <f t="shared" si="8"/>
        <v/>
      </c>
      <c r="K279" s="289" t="str">
        <f t="shared" si="9"/>
        <v/>
      </c>
      <c r="L279" s="260"/>
      <c r="M279" s="260"/>
      <c r="N279" s="260"/>
      <c r="O279" s="260"/>
      <c r="P279" s="260"/>
      <c r="S279" s="261"/>
      <c r="T279" s="261"/>
      <c r="U279" s="261"/>
      <c r="V279" s="261"/>
      <c r="W279" s="261"/>
      <c r="X279" s="261"/>
      <c r="Y279" s="261"/>
      <c r="Z279" s="261"/>
      <c r="AA279" s="261"/>
      <c r="AB279" s="261"/>
    </row>
    <row r="280" spans="1:28" ht="24">
      <c r="A280" s="1117"/>
      <c r="B280" s="1118"/>
      <c r="C280" s="1061">
        <v>842</v>
      </c>
      <c r="D280" s="1119"/>
      <c r="E280" s="339" t="s">
        <v>481</v>
      </c>
      <c r="F280" s="341">
        <f>[5]Druhova!G275</f>
        <v>0</v>
      </c>
      <c r="G280" s="288">
        <f>[5]Druhova!B275</f>
        <v>0</v>
      </c>
      <c r="H280" s="288">
        <f>[5]Druhova!C275</f>
        <v>0</v>
      </c>
      <c r="I280" s="288">
        <f>[5]Druhova!D275</f>
        <v>0</v>
      </c>
      <c r="J280" s="288" t="str">
        <f t="shared" si="8"/>
        <v/>
      </c>
      <c r="K280" s="289" t="str">
        <f t="shared" si="9"/>
        <v/>
      </c>
      <c r="L280" s="260"/>
      <c r="M280" s="260"/>
      <c r="N280" s="260"/>
      <c r="O280" s="260"/>
      <c r="P280" s="260"/>
      <c r="S280" s="261"/>
      <c r="T280" s="261"/>
      <c r="U280" s="261"/>
      <c r="V280" s="261"/>
      <c r="W280" s="261"/>
      <c r="X280" s="261"/>
      <c r="Y280" s="261"/>
      <c r="Z280" s="261"/>
      <c r="AA280" s="261"/>
      <c r="AB280" s="261"/>
    </row>
    <row r="281" spans="1:28" ht="24">
      <c r="A281" s="1117"/>
      <c r="B281" s="1118">
        <v>84</v>
      </c>
      <c r="C281" s="1061"/>
      <c r="D281" s="1119"/>
      <c r="E281" s="340" t="s">
        <v>482</v>
      </c>
      <c r="F281" s="291">
        <f>[5]Druhova!G276</f>
        <v>0</v>
      </c>
      <c r="G281" s="291">
        <f>[5]Druhova!B276</f>
        <v>0</v>
      </c>
      <c r="H281" s="291">
        <f>[5]Druhova!C276</f>
        <v>0</v>
      </c>
      <c r="I281" s="291">
        <f>[5]Druhova!D276</f>
        <v>0</v>
      </c>
      <c r="J281" s="291" t="str">
        <f t="shared" si="8"/>
        <v/>
      </c>
      <c r="K281" s="292" t="str">
        <f t="shared" si="9"/>
        <v/>
      </c>
      <c r="L281" s="260"/>
      <c r="M281" s="260"/>
      <c r="N281" s="260"/>
      <c r="O281" s="260"/>
      <c r="P281" s="260"/>
      <c r="S281" s="261"/>
      <c r="T281" s="261"/>
      <c r="U281" s="261"/>
      <c r="V281" s="261"/>
      <c r="W281" s="261"/>
      <c r="X281" s="261"/>
      <c r="Y281" s="261"/>
      <c r="Z281" s="261"/>
      <c r="AA281" s="261"/>
      <c r="AB281" s="261"/>
    </row>
    <row r="282" spans="1:28" ht="24">
      <c r="A282" s="1117"/>
      <c r="B282" s="1118"/>
      <c r="C282" s="1061"/>
      <c r="D282" s="1119">
        <v>8901</v>
      </c>
      <c r="E282" s="339" t="s">
        <v>483</v>
      </c>
      <c r="F282" s="341">
        <f>[5]Druhova!G277</f>
        <v>0</v>
      </c>
      <c r="G282" s="288">
        <f>[5]Druhova!B277</f>
        <v>0</v>
      </c>
      <c r="H282" s="288">
        <f>[5]Druhova!C277</f>
        <v>0</v>
      </c>
      <c r="I282" s="288">
        <f>[5]Druhova!D277</f>
        <v>0</v>
      </c>
      <c r="J282" s="288" t="str">
        <f t="shared" si="8"/>
        <v/>
      </c>
      <c r="K282" s="289" t="str">
        <f t="shared" si="9"/>
        <v/>
      </c>
      <c r="L282" s="260"/>
      <c r="M282" s="260"/>
      <c r="N282" s="260"/>
      <c r="O282" s="260"/>
      <c r="P282" s="260"/>
      <c r="S282" s="261"/>
      <c r="T282" s="261"/>
      <c r="U282" s="261"/>
      <c r="V282" s="261"/>
      <c r="W282" s="261"/>
      <c r="X282" s="261"/>
      <c r="Y282" s="261"/>
      <c r="Z282" s="261"/>
      <c r="AA282" s="261"/>
      <c r="AB282" s="261"/>
    </row>
    <row r="283" spans="1:28" ht="24">
      <c r="A283" s="1117"/>
      <c r="B283" s="1118"/>
      <c r="C283" s="1061"/>
      <c r="D283" s="1119">
        <v>8902</v>
      </c>
      <c r="E283" s="339" t="s">
        <v>484</v>
      </c>
      <c r="F283" s="341">
        <f>[5]Druhova!G278</f>
        <v>0</v>
      </c>
      <c r="G283" s="288">
        <f>[5]Druhova!B278</f>
        <v>0</v>
      </c>
      <c r="H283" s="288">
        <f>[5]Druhova!C278</f>
        <v>0</v>
      </c>
      <c r="I283" s="288">
        <f>[5]Druhova!D278</f>
        <v>0</v>
      </c>
      <c r="J283" s="288" t="str">
        <f t="shared" si="8"/>
        <v/>
      </c>
      <c r="K283" s="289" t="str">
        <f t="shared" si="9"/>
        <v/>
      </c>
      <c r="L283" s="260"/>
      <c r="M283" s="260"/>
      <c r="N283" s="260"/>
      <c r="O283" s="260"/>
      <c r="P283" s="260"/>
      <c r="S283" s="261"/>
      <c r="T283" s="261"/>
      <c r="U283" s="261"/>
      <c r="V283" s="261"/>
      <c r="W283" s="261"/>
      <c r="X283" s="261"/>
      <c r="Y283" s="261"/>
      <c r="Z283" s="261"/>
      <c r="AA283" s="261"/>
      <c r="AB283" s="261"/>
    </row>
    <row r="284" spans="1:28">
      <c r="A284" s="1117"/>
      <c r="B284" s="1118"/>
      <c r="C284" s="1061"/>
      <c r="D284" s="1119">
        <v>8905</v>
      </c>
      <c r="E284" s="339" t="s">
        <v>485</v>
      </c>
      <c r="F284" s="341">
        <f>[5]Druhova!G279</f>
        <v>0</v>
      </c>
      <c r="G284" s="288">
        <f>[5]Druhova!B279</f>
        <v>0</v>
      </c>
      <c r="H284" s="288">
        <f>[5]Druhova!C279</f>
        <v>0</v>
      </c>
      <c r="I284" s="288">
        <f>[5]Druhova!D279</f>
        <v>0</v>
      </c>
      <c r="J284" s="288" t="str">
        <f t="shared" si="8"/>
        <v/>
      </c>
      <c r="K284" s="289" t="str">
        <f t="shared" si="9"/>
        <v/>
      </c>
      <c r="L284" s="260"/>
      <c r="M284" s="260"/>
      <c r="N284" s="260"/>
      <c r="O284" s="260"/>
      <c r="P284" s="260"/>
      <c r="S284" s="261"/>
      <c r="T284" s="261"/>
      <c r="U284" s="261"/>
      <c r="V284" s="261"/>
      <c r="W284" s="261"/>
      <c r="X284" s="261"/>
      <c r="Y284" s="261"/>
      <c r="Z284" s="261"/>
      <c r="AA284" s="261"/>
      <c r="AB284" s="261"/>
    </row>
    <row r="285" spans="1:28">
      <c r="A285" s="1085"/>
      <c r="B285" s="1118"/>
      <c r="C285" s="1061">
        <v>890</v>
      </c>
      <c r="D285" s="1119"/>
      <c r="E285" s="342" t="s">
        <v>486</v>
      </c>
      <c r="F285" s="341">
        <f>[5]Druhova!G280</f>
        <v>0</v>
      </c>
      <c r="G285" s="288">
        <f>[5]Druhova!B280</f>
        <v>0</v>
      </c>
      <c r="H285" s="288">
        <f>[5]Druhova!C280</f>
        <v>0</v>
      </c>
      <c r="I285" s="288">
        <f>[5]Druhova!D280</f>
        <v>0</v>
      </c>
      <c r="J285" s="288" t="str">
        <f t="shared" si="8"/>
        <v/>
      </c>
      <c r="K285" s="289" t="str">
        <f t="shared" si="9"/>
        <v/>
      </c>
      <c r="L285" s="260"/>
      <c r="M285" s="260"/>
      <c r="N285" s="260"/>
      <c r="O285" s="260"/>
      <c r="P285" s="260"/>
      <c r="S285" s="261"/>
      <c r="T285" s="261"/>
      <c r="U285" s="261"/>
      <c r="V285" s="261"/>
      <c r="W285" s="261"/>
      <c r="X285" s="261"/>
      <c r="Y285" s="261"/>
      <c r="Z285" s="261"/>
      <c r="AA285" s="261"/>
      <c r="AB285" s="261"/>
    </row>
    <row r="286" spans="1:28" ht="13.5" thickBot="1">
      <c r="A286" s="1089"/>
      <c r="B286" s="1090">
        <v>89</v>
      </c>
      <c r="C286" s="1124"/>
      <c r="D286" s="1125"/>
      <c r="E286" s="314" t="s">
        <v>486</v>
      </c>
      <c r="F286" s="315">
        <f>[5]Druhova!G281</f>
        <v>0</v>
      </c>
      <c r="G286" s="315">
        <f>[5]Druhova!B281</f>
        <v>0</v>
      </c>
      <c r="H286" s="315">
        <f>[5]Druhova!C281</f>
        <v>0</v>
      </c>
      <c r="I286" s="315">
        <f>[5]Druhova!D281</f>
        <v>0</v>
      </c>
      <c r="J286" s="315" t="str">
        <f t="shared" si="8"/>
        <v/>
      </c>
      <c r="K286" s="343" t="str">
        <f t="shared" si="9"/>
        <v/>
      </c>
      <c r="L286" s="260"/>
      <c r="M286" s="260"/>
      <c r="N286" s="260"/>
      <c r="O286" s="260"/>
      <c r="P286" s="260"/>
      <c r="S286" s="261"/>
      <c r="T286" s="261"/>
      <c r="U286" s="261"/>
      <c r="V286" s="261"/>
      <c r="W286" s="261"/>
      <c r="X286" s="261"/>
      <c r="Y286" s="261"/>
      <c r="Z286" s="261"/>
      <c r="AA286" s="261"/>
      <c r="AB286" s="261"/>
    </row>
    <row r="287" spans="1:28" ht="13.5" thickBot="1">
      <c r="A287" s="1135">
        <v>8</v>
      </c>
      <c r="B287" s="1106"/>
      <c r="C287" s="1126"/>
      <c r="D287" s="1127"/>
      <c r="E287" s="316" t="s">
        <v>487</v>
      </c>
      <c r="F287" s="304">
        <f>[5]Druhova!G282</f>
        <v>0</v>
      </c>
      <c r="G287" s="301">
        <f>[5]Druhova!B282</f>
        <v>0</v>
      </c>
      <c r="H287" s="301">
        <f>[5]Druhova!C282</f>
        <v>0</v>
      </c>
      <c r="I287" s="301">
        <f>[5]Druhova!D282</f>
        <v>0</v>
      </c>
      <c r="J287" s="301" t="str">
        <f t="shared" si="8"/>
        <v/>
      </c>
      <c r="K287" s="302" t="str">
        <f t="shared" si="9"/>
        <v/>
      </c>
      <c r="L287" s="260"/>
      <c r="M287" s="260"/>
      <c r="N287" s="260"/>
      <c r="O287" s="260"/>
      <c r="P287" s="260"/>
      <c r="S287" s="261"/>
      <c r="T287" s="261"/>
      <c r="U287" s="261"/>
      <c r="V287" s="261"/>
      <c r="W287" s="261"/>
      <c r="X287" s="261"/>
      <c r="Y287" s="261"/>
      <c r="Z287" s="261"/>
      <c r="AA287" s="261"/>
      <c r="AB287" s="261"/>
    </row>
    <row r="288" spans="1:28" ht="13.5" thickBot="1">
      <c r="A288" s="1094" t="s">
        <v>774</v>
      </c>
      <c r="E288" s="328"/>
      <c r="F288" s="344"/>
      <c r="G288" s="344"/>
      <c r="H288" s="344"/>
      <c r="I288" s="344"/>
      <c r="J288" s="344" t="str">
        <f>IF(H288&gt;0,I288/H288*100," ")</f>
        <v xml:space="preserve"> </v>
      </c>
      <c r="K288" s="344" t="str">
        <f>IF(F288&gt;0,I288/F288*100," ")</f>
        <v xml:space="preserve"> </v>
      </c>
      <c r="L288" s="260"/>
      <c r="M288" s="260"/>
      <c r="N288" s="260"/>
      <c r="O288" s="260"/>
      <c r="P288" s="260"/>
      <c r="S288" s="261"/>
      <c r="T288" s="261"/>
      <c r="U288" s="261"/>
      <c r="V288" s="261"/>
      <c r="W288" s="261"/>
      <c r="X288" s="261"/>
      <c r="Y288" s="261"/>
      <c r="Z288" s="261"/>
      <c r="AA288" s="261"/>
      <c r="AB288" s="261"/>
    </row>
    <row r="289" spans="1:28" ht="13.5" thickBot="1">
      <c r="A289" s="1103"/>
      <c r="B289" s="1103"/>
      <c r="C289" s="1103"/>
      <c r="D289" s="1108"/>
      <c r="E289" s="345" t="s">
        <v>488</v>
      </c>
      <c r="F289" s="304">
        <f>[5]Druhova!G284</f>
        <v>-46517000.72682</v>
      </c>
      <c r="G289" s="301">
        <f>[5]Druhova!B284</f>
        <v>-47167932.369999997</v>
      </c>
      <c r="H289" s="301">
        <f>[5]Druhova!C284</f>
        <v>-48940473.913999997</v>
      </c>
      <c r="I289" s="346">
        <f>[5]Druhova!D284</f>
        <v>-54090710.273479998</v>
      </c>
      <c r="J289" s="347" t="str">
        <f>IF(H289&gt;0,I289/H289*100," ")</f>
        <v xml:space="preserve"> </v>
      </c>
      <c r="K289" s="348" t="str">
        <f>IF(F289&gt;0,I289/F289*100," ")</f>
        <v xml:space="preserve"> </v>
      </c>
      <c r="L289" s="260"/>
      <c r="M289" s="260"/>
      <c r="N289" s="260"/>
      <c r="O289" s="260"/>
      <c r="P289" s="260"/>
      <c r="S289" s="261"/>
      <c r="T289" s="261"/>
      <c r="U289" s="261"/>
      <c r="V289" s="261"/>
      <c r="W289" s="261"/>
      <c r="X289" s="261"/>
      <c r="Y289" s="261"/>
      <c r="Z289" s="261"/>
      <c r="AA289" s="261"/>
      <c r="AB289" s="261"/>
    </row>
    <row r="290" spans="1:28">
      <c r="E290" s="328"/>
      <c r="F290" s="344"/>
      <c r="G290" s="344"/>
      <c r="H290" s="344"/>
      <c r="I290" s="344"/>
      <c r="J290" s="344" t="str">
        <f>IF(H290&gt;0,I290/H290*100," ")</f>
        <v xml:space="preserve"> </v>
      </c>
      <c r="K290" s="344" t="str">
        <f>IF(F290&gt;0,I290/F290*100," ")</f>
        <v xml:space="preserve"> </v>
      </c>
      <c r="L290" s="260"/>
      <c r="M290" s="260"/>
      <c r="N290" s="260"/>
      <c r="O290" s="260"/>
      <c r="P290" s="260"/>
      <c r="S290" s="261"/>
      <c r="T290" s="261"/>
      <c r="U290" s="261"/>
      <c r="V290" s="261"/>
      <c r="W290" s="261"/>
      <c r="X290" s="261"/>
      <c r="Y290" s="261"/>
      <c r="Z290" s="261"/>
      <c r="AA290" s="261"/>
      <c r="AB290" s="261"/>
    </row>
    <row r="291" spans="1:28">
      <c r="A291" s="1045" t="s">
        <v>775</v>
      </c>
      <c r="E291" s="349" t="s">
        <v>489</v>
      </c>
      <c r="L291" s="260"/>
      <c r="M291" s="260"/>
      <c r="N291" s="260"/>
      <c r="O291" s="260"/>
      <c r="P291" s="260"/>
      <c r="S291" s="261"/>
      <c r="T291" s="261"/>
      <c r="U291" s="261"/>
      <c r="V291" s="261"/>
      <c r="W291" s="261"/>
      <c r="X291" s="261"/>
      <c r="Y291" s="261"/>
      <c r="Z291" s="261"/>
      <c r="AA291" s="261"/>
      <c r="AB291" s="261"/>
    </row>
    <row r="292" spans="1:28">
      <c r="E292" s="349" t="s">
        <v>490</v>
      </c>
      <c r="L292" s="260"/>
      <c r="M292" s="260"/>
      <c r="N292" s="260"/>
      <c r="O292" s="260"/>
      <c r="P292" s="260"/>
      <c r="S292" s="261"/>
      <c r="T292" s="261"/>
      <c r="U292" s="261"/>
      <c r="V292" s="261"/>
      <c r="W292" s="261"/>
      <c r="X292" s="261"/>
      <c r="Y292" s="261"/>
      <c r="Z292" s="261"/>
      <c r="AA292" s="261"/>
      <c r="AB292" s="261"/>
    </row>
    <row r="293" spans="1:28">
      <c r="A293" s="1045" t="s">
        <v>776</v>
      </c>
      <c r="B293" s="1097"/>
      <c r="C293" s="1097"/>
      <c r="D293" s="1097"/>
      <c r="E293" s="350" t="s">
        <v>491</v>
      </c>
      <c r="L293" s="260"/>
      <c r="M293" s="260"/>
      <c r="N293" s="260"/>
      <c r="O293" s="260"/>
      <c r="P293" s="260"/>
      <c r="S293" s="261"/>
      <c r="T293" s="261"/>
      <c r="U293" s="261"/>
      <c r="V293" s="261"/>
      <c r="W293" s="261"/>
      <c r="X293" s="261"/>
      <c r="Y293" s="261"/>
      <c r="Z293" s="261"/>
      <c r="AA293" s="261"/>
      <c r="AB293" s="261"/>
    </row>
    <row r="294" spans="1:28">
      <c r="A294" s="1045" t="s">
        <v>777</v>
      </c>
      <c r="B294" s="1097"/>
      <c r="C294" s="1097"/>
      <c r="D294" s="1097"/>
      <c r="E294" s="351" t="s">
        <v>492</v>
      </c>
      <c r="L294" s="260"/>
      <c r="M294" s="260"/>
      <c r="N294" s="260"/>
      <c r="O294" s="260"/>
      <c r="P294" s="260"/>
      <c r="S294" s="261"/>
      <c r="T294" s="261"/>
      <c r="U294" s="261"/>
      <c r="V294" s="261"/>
      <c r="W294" s="261"/>
      <c r="X294" s="261"/>
      <c r="Y294" s="261"/>
      <c r="Z294" s="261"/>
      <c r="AA294" s="261"/>
      <c r="AB294" s="261"/>
    </row>
    <row r="295" spans="1:28">
      <c r="A295" s="1045" t="s">
        <v>778</v>
      </c>
      <c r="E295" s="352" t="s">
        <v>493</v>
      </c>
      <c r="L295" s="260"/>
      <c r="M295" s="260"/>
      <c r="N295" s="260"/>
      <c r="O295" s="260"/>
      <c r="P295" s="260"/>
      <c r="S295" s="261"/>
      <c r="T295" s="261"/>
      <c r="U295" s="261"/>
      <c r="V295" s="261"/>
      <c r="W295" s="261"/>
      <c r="X295" s="261"/>
      <c r="Y295" s="261"/>
      <c r="Z295" s="261"/>
      <c r="AA295" s="261"/>
      <c r="AB295" s="261"/>
    </row>
    <row r="296" spans="1:28">
      <c r="A296" s="1045" t="s">
        <v>779</v>
      </c>
      <c r="E296" s="349"/>
      <c r="L296" s="260"/>
      <c r="M296" s="260"/>
      <c r="N296" s="260"/>
      <c r="O296" s="260"/>
      <c r="P296" s="260"/>
      <c r="S296" s="261"/>
      <c r="T296" s="261"/>
      <c r="U296" s="261"/>
      <c r="V296" s="261"/>
      <c r="W296" s="261"/>
      <c r="X296" s="261"/>
      <c r="Y296" s="261"/>
      <c r="Z296" s="261"/>
      <c r="AA296" s="261"/>
      <c r="AB296" s="261"/>
    </row>
    <row r="297" spans="1:28">
      <c r="A297" s="1045" t="s">
        <v>780</v>
      </c>
      <c r="L297" s="260"/>
      <c r="M297" s="260"/>
      <c r="N297" s="260"/>
      <c r="O297" s="260"/>
      <c r="P297" s="260"/>
      <c r="S297" s="261"/>
      <c r="T297" s="261"/>
      <c r="U297" s="261"/>
      <c r="V297" s="261"/>
      <c r="W297" s="261"/>
      <c r="X297" s="261"/>
      <c r="Y297" s="261"/>
      <c r="Z297" s="261"/>
      <c r="AA297" s="261"/>
      <c r="AB297" s="261"/>
    </row>
    <row r="298" spans="1:28">
      <c r="L298" s="260"/>
      <c r="M298" s="260"/>
      <c r="N298" s="260"/>
      <c r="O298" s="260"/>
      <c r="P298" s="260"/>
      <c r="S298" s="261"/>
      <c r="T298" s="261"/>
      <c r="U298" s="261"/>
      <c r="V298" s="261"/>
      <c r="W298" s="261"/>
      <c r="X298" s="261"/>
      <c r="Y298" s="261"/>
      <c r="Z298" s="261"/>
      <c r="AA298" s="261"/>
      <c r="AB298" s="261"/>
    </row>
    <row r="299" spans="1:28">
      <c r="L299" s="260"/>
      <c r="M299" s="260"/>
      <c r="N299" s="260"/>
      <c r="O299" s="260"/>
      <c r="P299" s="260"/>
      <c r="S299" s="261"/>
      <c r="T299" s="261"/>
      <c r="U299" s="261"/>
      <c r="V299" s="261"/>
      <c r="W299" s="261"/>
      <c r="X299" s="261"/>
      <c r="Y299" s="261"/>
      <c r="Z299" s="261"/>
      <c r="AA299" s="261"/>
      <c r="AB299" s="261"/>
    </row>
    <row r="300" spans="1:28">
      <c r="H300" s="261" t="s">
        <v>3</v>
      </c>
      <c r="L300" s="260"/>
      <c r="M300" s="260"/>
      <c r="N300" s="260"/>
      <c r="O300" s="260"/>
      <c r="P300" s="260"/>
      <c r="S300" s="261"/>
      <c r="T300" s="261"/>
      <c r="U300" s="261"/>
      <c r="V300" s="261"/>
      <c r="W300" s="261"/>
      <c r="X300" s="261"/>
      <c r="Y300" s="261"/>
      <c r="Z300" s="261"/>
      <c r="AA300" s="261"/>
      <c r="AB300" s="261"/>
    </row>
    <row r="301" spans="1:28">
      <c r="L301" s="260"/>
      <c r="M301" s="260"/>
      <c r="N301" s="260"/>
      <c r="O301" s="260"/>
      <c r="P301" s="260"/>
      <c r="S301" s="261"/>
      <c r="T301" s="261"/>
      <c r="U301" s="261"/>
      <c r="V301" s="261"/>
      <c r="W301" s="261"/>
      <c r="X301" s="261"/>
      <c r="Y301" s="261"/>
      <c r="Z301" s="261"/>
      <c r="AA301" s="261"/>
      <c r="AB301" s="261"/>
    </row>
    <row r="302" spans="1:28">
      <c r="L302" s="260"/>
      <c r="M302" s="260"/>
      <c r="N302" s="260"/>
      <c r="O302" s="260"/>
      <c r="P302" s="260"/>
      <c r="S302" s="261"/>
      <c r="T302" s="261"/>
      <c r="U302" s="261"/>
      <c r="V302" s="261"/>
      <c r="W302" s="261"/>
      <c r="X302" s="261"/>
      <c r="Y302" s="261"/>
      <c r="Z302" s="261"/>
      <c r="AA302" s="261"/>
      <c r="AB302" s="261"/>
    </row>
    <row r="303" spans="1:28">
      <c r="L303" s="260"/>
      <c r="M303" s="260"/>
      <c r="N303" s="260"/>
      <c r="O303" s="260"/>
      <c r="P303" s="260"/>
      <c r="S303" s="261"/>
      <c r="T303" s="261"/>
      <c r="U303" s="261"/>
      <c r="V303" s="261"/>
      <c r="W303" s="261"/>
      <c r="X303" s="261"/>
      <c r="Y303" s="261"/>
      <c r="Z303" s="261"/>
      <c r="AA303" s="261"/>
      <c r="AB303" s="261"/>
    </row>
    <row r="304" spans="1:28">
      <c r="L304" s="260"/>
      <c r="M304" s="260"/>
      <c r="N304" s="260"/>
      <c r="O304" s="260"/>
      <c r="P304" s="260"/>
      <c r="S304" s="261"/>
      <c r="T304" s="261"/>
      <c r="U304" s="261"/>
      <c r="V304" s="261"/>
      <c r="W304" s="261"/>
      <c r="X304" s="261"/>
      <c r="Y304" s="261"/>
      <c r="Z304" s="261"/>
      <c r="AA304" s="261"/>
      <c r="AB304" s="261"/>
    </row>
    <row r="305" spans="5:28">
      <c r="L305" s="260"/>
      <c r="M305" s="260"/>
      <c r="N305" s="260"/>
      <c r="O305" s="260"/>
      <c r="P305" s="260"/>
      <c r="S305" s="261"/>
      <c r="T305" s="261"/>
      <c r="U305" s="261"/>
      <c r="V305" s="261"/>
      <c r="W305" s="261"/>
      <c r="X305" s="261"/>
      <c r="Y305" s="261"/>
      <c r="Z305" s="261"/>
      <c r="AA305" s="261"/>
      <c r="AB305" s="261"/>
    </row>
    <row r="306" spans="5:28">
      <c r="L306" s="260"/>
      <c r="M306" s="260"/>
      <c r="N306" s="260"/>
      <c r="O306" s="260"/>
      <c r="P306" s="260"/>
      <c r="S306" s="261"/>
      <c r="T306" s="261"/>
      <c r="U306" s="261"/>
      <c r="V306" s="261"/>
      <c r="W306" s="261"/>
      <c r="X306" s="261"/>
      <c r="Y306" s="261"/>
      <c r="Z306" s="261"/>
      <c r="AA306" s="261"/>
      <c r="AB306" s="261"/>
    </row>
    <row r="307" spans="5:28">
      <c r="L307" s="260"/>
      <c r="M307" s="260"/>
      <c r="N307" s="260"/>
      <c r="O307" s="260"/>
      <c r="P307" s="260"/>
      <c r="S307" s="261"/>
      <c r="T307" s="261"/>
      <c r="U307" s="261"/>
      <c r="V307" s="261"/>
      <c r="W307" s="261"/>
      <c r="X307" s="261"/>
      <c r="Y307" s="261"/>
      <c r="Z307" s="261"/>
      <c r="AA307" s="261"/>
      <c r="AB307" s="261"/>
    </row>
    <row r="308" spans="5:28">
      <c r="E308" s="349"/>
    </row>
  </sheetData>
  <mergeCells count="6">
    <mergeCell ref="B229:D229"/>
    <mergeCell ref="J1:K1"/>
    <mergeCell ref="E2:K2"/>
    <mergeCell ref="A98:D98"/>
    <mergeCell ref="F6:F7"/>
    <mergeCell ref="I6:I7"/>
  </mergeCells>
  <printOptions horizontalCentered="1"/>
  <pageMargins left="0.70866141732283472" right="0.70866141732283472" top="0.98425196850393704" bottom="0.78740157480314965" header="0.78740157480314965" footer="0.19685039370078741"/>
  <pageSetup paperSize="9" scale="62" fitToHeight="6" orientation="portrait" r:id="rId1"/>
  <headerFooter alignWithMargins="0">
    <oddHeader xml:space="preserve">&amp;R&amp;"Arial,Tučné"&amp;12Tabulka č. 1
&amp;"Arial,Obyčejné"Strana č. &amp;P/&amp;N&amp;"Arial,Tučné"
</oddHeader>
    <oddFooter xml:space="preserve">&amp;C&amp;14&amp;P+3&amp;10
</oddFooter>
  </headerFooter>
  <rowBreaks count="6" manualBreakCount="6">
    <brk id="44" max="10" man="1"/>
    <brk id="98" max="10" man="1"/>
    <brk id="141" max="10" man="1"/>
    <brk id="184" max="10" man="1"/>
    <brk id="230" max="10" man="1"/>
    <brk id="267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J52"/>
  <sheetViews>
    <sheetView showGridLines="0" topLeftCell="A19" zoomScaleNormal="100" workbookViewId="0">
      <selection activeCell="I16" sqref="I16"/>
    </sheetView>
  </sheetViews>
  <sheetFormatPr defaultColWidth="8" defaultRowHeight="11.25"/>
  <cols>
    <col min="1" max="1" width="12.140625" style="201" customWidth="1"/>
    <col min="2" max="2" width="40.140625" style="201" customWidth="1"/>
    <col min="3" max="3" width="19" style="201" customWidth="1"/>
    <col min="4" max="6" width="16.5703125" style="201" customWidth="1"/>
    <col min="7" max="7" width="8.42578125" style="201" customWidth="1"/>
    <col min="8" max="8" width="13.85546875" style="201" customWidth="1"/>
    <col min="9" max="9" width="14.42578125" style="201" customWidth="1"/>
    <col min="10" max="10" width="15.5703125" style="201" customWidth="1"/>
    <col min="11" max="256" width="8" style="201"/>
    <col min="257" max="257" width="18.5703125" style="201" customWidth="1"/>
    <col min="258" max="258" width="40.140625" style="201" customWidth="1"/>
    <col min="259" max="259" width="6.7109375" style="201" customWidth="1"/>
    <col min="260" max="262" width="16.5703125" style="201" customWidth="1"/>
    <col min="263" max="263" width="8.42578125" style="201" customWidth="1"/>
    <col min="264" max="264" width="13.85546875" style="201" customWidth="1"/>
    <col min="265" max="265" width="14.42578125" style="201" customWidth="1"/>
    <col min="266" max="266" width="15.5703125" style="201" customWidth="1"/>
    <col min="267" max="512" width="8" style="201"/>
    <col min="513" max="513" width="18.5703125" style="201" customWidth="1"/>
    <col min="514" max="514" width="40.140625" style="201" customWidth="1"/>
    <col min="515" max="515" width="6.7109375" style="201" customWidth="1"/>
    <col min="516" max="518" width="16.5703125" style="201" customWidth="1"/>
    <col min="519" max="519" width="8.42578125" style="201" customWidth="1"/>
    <col min="520" max="520" width="13.85546875" style="201" customWidth="1"/>
    <col min="521" max="521" width="14.42578125" style="201" customWidth="1"/>
    <col min="522" max="522" width="15.5703125" style="201" customWidth="1"/>
    <col min="523" max="768" width="8" style="201"/>
    <col min="769" max="769" width="18.5703125" style="201" customWidth="1"/>
    <col min="770" max="770" width="40.140625" style="201" customWidth="1"/>
    <col min="771" max="771" width="6.7109375" style="201" customWidth="1"/>
    <col min="772" max="774" width="16.5703125" style="201" customWidth="1"/>
    <col min="775" max="775" width="8.42578125" style="201" customWidth="1"/>
    <col min="776" max="776" width="13.85546875" style="201" customWidth="1"/>
    <col min="777" max="777" width="14.42578125" style="201" customWidth="1"/>
    <col min="778" max="778" width="15.5703125" style="201" customWidth="1"/>
    <col min="779" max="1024" width="8" style="201"/>
    <col min="1025" max="1025" width="18.5703125" style="201" customWidth="1"/>
    <col min="1026" max="1026" width="40.140625" style="201" customWidth="1"/>
    <col min="1027" max="1027" width="6.7109375" style="201" customWidth="1"/>
    <col min="1028" max="1030" width="16.5703125" style="201" customWidth="1"/>
    <col min="1031" max="1031" width="8.42578125" style="201" customWidth="1"/>
    <col min="1032" max="1032" width="13.85546875" style="201" customWidth="1"/>
    <col min="1033" max="1033" width="14.42578125" style="201" customWidth="1"/>
    <col min="1034" max="1034" width="15.5703125" style="201" customWidth="1"/>
    <col min="1035" max="1280" width="8" style="201"/>
    <col min="1281" max="1281" width="18.5703125" style="201" customWidth="1"/>
    <col min="1282" max="1282" width="40.140625" style="201" customWidth="1"/>
    <col min="1283" max="1283" width="6.7109375" style="201" customWidth="1"/>
    <col min="1284" max="1286" width="16.5703125" style="201" customWidth="1"/>
    <col min="1287" max="1287" width="8.42578125" style="201" customWidth="1"/>
    <col min="1288" max="1288" width="13.85546875" style="201" customWidth="1"/>
    <col min="1289" max="1289" width="14.42578125" style="201" customWidth="1"/>
    <col min="1290" max="1290" width="15.5703125" style="201" customWidth="1"/>
    <col min="1291" max="1536" width="8" style="201"/>
    <col min="1537" max="1537" width="18.5703125" style="201" customWidth="1"/>
    <col min="1538" max="1538" width="40.140625" style="201" customWidth="1"/>
    <col min="1539" max="1539" width="6.7109375" style="201" customWidth="1"/>
    <col min="1540" max="1542" width="16.5703125" style="201" customWidth="1"/>
    <col min="1543" max="1543" width="8.42578125" style="201" customWidth="1"/>
    <col min="1544" max="1544" width="13.85546875" style="201" customWidth="1"/>
    <col min="1545" max="1545" width="14.42578125" style="201" customWidth="1"/>
    <col min="1546" max="1546" width="15.5703125" style="201" customWidth="1"/>
    <col min="1547" max="1792" width="8" style="201"/>
    <col min="1793" max="1793" width="18.5703125" style="201" customWidth="1"/>
    <col min="1794" max="1794" width="40.140625" style="201" customWidth="1"/>
    <col min="1795" max="1795" width="6.7109375" style="201" customWidth="1"/>
    <col min="1796" max="1798" width="16.5703125" style="201" customWidth="1"/>
    <col min="1799" max="1799" width="8.42578125" style="201" customWidth="1"/>
    <col min="1800" max="1800" width="13.85546875" style="201" customWidth="1"/>
    <col min="1801" max="1801" width="14.42578125" style="201" customWidth="1"/>
    <col min="1802" max="1802" width="15.5703125" style="201" customWidth="1"/>
    <col min="1803" max="2048" width="8" style="201"/>
    <col min="2049" max="2049" width="18.5703125" style="201" customWidth="1"/>
    <col min="2050" max="2050" width="40.140625" style="201" customWidth="1"/>
    <col min="2051" max="2051" width="6.7109375" style="201" customWidth="1"/>
    <col min="2052" max="2054" width="16.5703125" style="201" customWidth="1"/>
    <col min="2055" max="2055" width="8.42578125" style="201" customWidth="1"/>
    <col min="2056" max="2056" width="13.85546875" style="201" customWidth="1"/>
    <col min="2057" max="2057" width="14.42578125" style="201" customWidth="1"/>
    <col min="2058" max="2058" width="15.5703125" style="201" customWidth="1"/>
    <col min="2059" max="2304" width="8" style="201"/>
    <col min="2305" max="2305" width="18.5703125" style="201" customWidth="1"/>
    <col min="2306" max="2306" width="40.140625" style="201" customWidth="1"/>
    <col min="2307" max="2307" width="6.7109375" style="201" customWidth="1"/>
    <col min="2308" max="2310" width="16.5703125" style="201" customWidth="1"/>
    <col min="2311" max="2311" width="8.42578125" style="201" customWidth="1"/>
    <col min="2312" max="2312" width="13.85546875" style="201" customWidth="1"/>
    <col min="2313" max="2313" width="14.42578125" style="201" customWidth="1"/>
    <col min="2314" max="2314" width="15.5703125" style="201" customWidth="1"/>
    <col min="2315" max="2560" width="8" style="201"/>
    <col min="2561" max="2561" width="18.5703125" style="201" customWidth="1"/>
    <col min="2562" max="2562" width="40.140625" style="201" customWidth="1"/>
    <col min="2563" max="2563" width="6.7109375" style="201" customWidth="1"/>
    <col min="2564" max="2566" width="16.5703125" style="201" customWidth="1"/>
    <col min="2567" max="2567" width="8.42578125" style="201" customWidth="1"/>
    <col min="2568" max="2568" width="13.85546875" style="201" customWidth="1"/>
    <col min="2569" max="2569" width="14.42578125" style="201" customWidth="1"/>
    <col min="2570" max="2570" width="15.5703125" style="201" customWidth="1"/>
    <col min="2571" max="2816" width="8" style="201"/>
    <col min="2817" max="2817" width="18.5703125" style="201" customWidth="1"/>
    <col min="2818" max="2818" width="40.140625" style="201" customWidth="1"/>
    <col min="2819" max="2819" width="6.7109375" style="201" customWidth="1"/>
    <col min="2820" max="2822" width="16.5703125" style="201" customWidth="1"/>
    <col min="2823" max="2823" width="8.42578125" style="201" customWidth="1"/>
    <col min="2824" max="2824" width="13.85546875" style="201" customWidth="1"/>
    <col min="2825" max="2825" width="14.42578125" style="201" customWidth="1"/>
    <col min="2826" max="2826" width="15.5703125" style="201" customWidth="1"/>
    <col min="2827" max="3072" width="8" style="201"/>
    <col min="3073" max="3073" width="18.5703125" style="201" customWidth="1"/>
    <col min="3074" max="3074" width="40.140625" style="201" customWidth="1"/>
    <col min="3075" max="3075" width="6.7109375" style="201" customWidth="1"/>
    <col min="3076" max="3078" width="16.5703125" style="201" customWidth="1"/>
    <col min="3079" max="3079" width="8.42578125" style="201" customWidth="1"/>
    <col min="3080" max="3080" width="13.85546875" style="201" customWidth="1"/>
    <col min="3081" max="3081" width="14.42578125" style="201" customWidth="1"/>
    <col min="3082" max="3082" width="15.5703125" style="201" customWidth="1"/>
    <col min="3083" max="3328" width="8" style="201"/>
    <col min="3329" max="3329" width="18.5703125" style="201" customWidth="1"/>
    <col min="3330" max="3330" width="40.140625" style="201" customWidth="1"/>
    <col min="3331" max="3331" width="6.7109375" style="201" customWidth="1"/>
    <col min="3332" max="3334" width="16.5703125" style="201" customWidth="1"/>
    <col min="3335" max="3335" width="8.42578125" style="201" customWidth="1"/>
    <col min="3336" max="3336" width="13.85546875" style="201" customWidth="1"/>
    <col min="3337" max="3337" width="14.42578125" style="201" customWidth="1"/>
    <col min="3338" max="3338" width="15.5703125" style="201" customWidth="1"/>
    <col min="3339" max="3584" width="8" style="201"/>
    <col min="3585" max="3585" width="18.5703125" style="201" customWidth="1"/>
    <col min="3586" max="3586" width="40.140625" style="201" customWidth="1"/>
    <col min="3587" max="3587" width="6.7109375" style="201" customWidth="1"/>
    <col min="3588" max="3590" width="16.5703125" style="201" customWidth="1"/>
    <col min="3591" max="3591" width="8.42578125" style="201" customWidth="1"/>
    <col min="3592" max="3592" width="13.85546875" style="201" customWidth="1"/>
    <col min="3593" max="3593" width="14.42578125" style="201" customWidth="1"/>
    <col min="3594" max="3594" width="15.5703125" style="201" customWidth="1"/>
    <col min="3595" max="3840" width="8" style="201"/>
    <col min="3841" max="3841" width="18.5703125" style="201" customWidth="1"/>
    <col min="3842" max="3842" width="40.140625" style="201" customWidth="1"/>
    <col min="3843" max="3843" width="6.7109375" style="201" customWidth="1"/>
    <col min="3844" max="3846" width="16.5703125" style="201" customWidth="1"/>
    <col min="3847" max="3847" width="8.42578125" style="201" customWidth="1"/>
    <col min="3848" max="3848" width="13.85546875" style="201" customWidth="1"/>
    <col min="3849" max="3849" width="14.42578125" style="201" customWidth="1"/>
    <col min="3850" max="3850" width="15.5703125" style="201" customWidth="1"/>
    <col min="3851" max="4096" width="8" style="201"/>
    <col min="4097" max="4097" width="18.5703125" style="201" customWidth="1"/>
    <col min="4098" max="4098" width="40.140625" style="201" customWidth="1"/>
    <col min="4099" max="4099" width="6.7109375" style="201" customWidth="1"/>
    <col min="4100" max="4102" width="16.5703125" style="201" customWidth="1"/>
    <col min="4103" max="4103" width="8.42578125" style="201" customWidth="1"/>
    <col min="4104" max="4104" width="13.85546875" style="201" customWidth="1"/>
    <col min="4105" max="4105" width="14.42578125" style="201" customWidth="1"/>
    <col min="4106" max="4106" width="15.5703125" style="201" customWidth="1"/>
    <col min="4107" max="4352" width="8" style="201"/>
    <col min="4353" max="4353" width="18.5703125" style="201" customWidth="1"/>
    <col min="4354" max="4354" width="40.140625" style="201" customWidth="1"/>
    <col min="4355" max="4355" width="6.7109375" style="201" customWidth="1"/>
    <col min="4356" max="4358" width="16.5703125" style="201" customWidth="1"/>
    <col min="4359" max="4359" width="8.42578125" style="201" customWidth="1"/>
    <col min="4360" max="4360" width="13.85546875" style="201" customWidth="1"/>
    <col min="4361" max="4361" width="14.42578125" style="201" customWidth="1"/>
    <col min="4362" max="4362" width="15.5703125" style="201" customWidth="1"/>
    <col min="4363" max="4608" width="8" style="201"/>
    <col min="4609" max="4609" width="18.5703125" style="201" customWidth="1"/>
    <col min="4610" max="4610" width="40.140625" style="201" customWidth="1"/>
    <col min="4611" max="4611" width="6.7109375" style="201" customWidth="1"/>
    <col min="4612" max="4614" width="16.5703125" style="201" customWidth="1"/>
    <col min="4615" max="4615" width="8.42578125" style="201" customWidth="1"/>
    <col min="4616" max="4616" width="13.85546875" style="201" customWidth="1"/>
    <col min="4617" max="4617" width="14.42578125" style="201" customWidth="1"/>
    <col min="4618" max="4618" width="15.5703125" style="201" customWidth="1"/>
    <col min="4619" max="4864" width="8" style="201"/>
    <col min="4865" max="4865" width="18.5703125" style="201" customWidth="1"/>
    <col min="4866" max="4866" width="40.140625" style="201" customWidth="1"/>
    <col min="4867" max="4867" width="6.7109375" style="201" customWidth="1"/>
    <col min="4868" max="4870" width="16.5703125" style="201" customWidth="1"/>
    <col min="4871" max="4871" width="8.42578125" style="201" customWidth="1"/>
    <col min="4872" max="4872" width="13.85546875" style="201" customWidth="1"/>
    <col min="4873" max="4873" width="14.42578125" style="201" customWidth="1"/>
    <col min="4874" max="4874" width="15.5703125" style="201" customWidth="1"/>
    <col min="4875" max="5120" width="8" style="201"/>
    <col min="5121" max="5121" width="18.5703125" style="201" customWidth="1"/>
    <col min="5122" max="5122" width="40.140625" style="201" customWidth="1"/>
    <col min="5123" max="5123" width="6.7109375" style="201" customWidth="1"/>
    <col min="5124" max="5126" width="16.5703125" style="201" customWidth="1"/>
    <col min="5127" max="5127" width="8.42578125" style="201" customWidth="1"/>
    <col min="5128" max="5128" width="13.85546875" style="201" customWidth="1"/>
    <col min="5129" max="5129" width="14.42578125" style="201" customWidth="1"/>
    <col min="5130" max="5130" width="15.5703125" style="201" customWidth="1"/>
    <col min="5131" max="5376" width="8" style="201"/>
    <col min="5377" max="5377" width="18.5703125" style="201" customWidth="1"/>
    <col min="5378" max="5378" width="40.140625" style="201" customWidth="1"/>
    <col min="5379" max="5379" width="6.7109375" style="201" customWidth="1"/>
    <col min="5380" max="5382" width="16.5703125" style="201" customWidth="1"/>
    <col min="5383" max="5383" width="8.42578125" style="201" customWidth="1"/>
    <col min="5384" max="5384" width="13.85546875" style="201" customWidth="1"/>
    <col min="5385" max="5385" width="14.42578125" style="201" customWidth="1"/>
    <col min="5386" max="5386" width="15.5703125" style="201" customWidth="1"/>
    <col min="5387" max="5632" width="8" style="201"/>
    <col min="5633" max="5633" width="18.5703125" style="201" customWidth="1"/>
    <col min="5634" max="5634" width="40.140625" style="201" customWidth="1"/>
    <col min="5635" max="5635" width="6.7109375" style="201" customWidth="1"/>
    <col min="5636" max="5638" width="16.5703125" style="201" customWidth="1"/>
    <col min="5639" max="5639" width="8.42578125" style="201" customWidth="1"/>
    <col min="5640" max="5640" width="13.85546875" style="201" customWidth="1"/>
    <col min="5641" max="5641" width="14.42578125" style="201" customWidth="1"/>
    <col min="5642" max="5642" width="15.5703125" style="201" customWidth="1"/>
    <col min="5643" max="5888" width="8" style="201"/>
    <col min="5889" max="5889" width="18.5703125" style="201" customWidth="1"/>
    <col min="5890" max="5890" width="40.140625" style="201" customWidth="1"/>
    <col min="5891" max="5891" width="6.7109375" style="201" customWidth="1"/>
    <col min="5892" max="5894" width="16.5703125" style="201" customWidth="1"/>
    <col min="5895" max="5895" width="8.42578125" style="201" customWidth="1"/>
    <col min="5896" max="5896" width="13.85546875" style="201" customWidth="1"/>
    <col min="5897" max="5897" width="14.42578125" style="201" customWidth="1"/>
    <col min="5898" max="5898" width="15.5703125" style="201" customWidth="1"/>
    <col min="5899" max="6144" width="8" style="201"/>
    <col min="6145" max="6145" width="18.5703125" style="201" customWidth="1"/>
    <col min="6146" max="6146" width="40.140625" style="201" customWidth="1"/>
    <col min="6147" max="6147" width="6.7109375" style="201" customWidth="1"/>
    <col min="6148" max="6150" width="16.5703125" style="201" customWidth="1"/>
    <col min="6151" max="6151" width="8.42578125" style="201" customWidth="1"/>
    <col min="6152" max="6152" width="13.85546875" style="201" customWidth="1"/>
    <col min="6153" max="6153" width="14.42578125" style="201" customWidth="1"/>
    <col min="6154" max="6154" width="15.5703125" style="201" customWidth="1"/>
    <col min="6155" max="6400" width="8" style="201"/>
    <col min="6401" max="6401" width="18.5703125" style="201" customWidth="1"/>
    <col min="6402" max="6402" width="40.140625" style="201" customWidth="1"/>
    <col min="6403" max="6403" width="6.7109375" style="201" customWidth="1"/>
    <col min="6404" max="6406" width="16.5703125" style="201" customWidth="1"/>
    <col min="6407" max="6407" width="8.42578125" style="201" customWidth="1"/>
    <col min="6408" max="6408" width="13.85546875" style="201" customWidth="1"/>
    <col min="6409" max="6409" width="14.42578125" style="201" customWidth="1"/>
    <col min="6410" max="6410" width="15.5703125" style="201" customWidth="1"/>
    <col min="6411" max="6656" width="8" style="201"/>
    <col min="6657" max="6657" width="18.5703125" style="201" customWidth="1"/>
    <col min="6658" max="6658" width="40.140625" style="201" customWidth="1"/>
    <col min="6659" max="6659" width="6.7109375" style="201" customWidth="1"/>
    <col min="6660" max="6662" width="16.5703125" style="201" customWidth="1"/>
    <col min="6663" max="6663" width="8.42578125" style="201" customWidth="1"/>
    <col min="6664" max="6664" width="13.85546875" style="201" customWidth="1"/>
    <col min="6665" max="6665" width="14.42578125" style="201" customWidth="1"/>
    <col min="6666" max="6666" width="15.5703125" style="201" customWidth="1"/>
    <col min="6667" max="6912" width="8" style="201"/>
    <col min="6913" max="6913" width="18.5703125" style="201" customWidth="1"/>
    <col min="6914" max="6914" width="40.140625" style="201" customWidth="1"/>
    <col min="6915" max="6915" width="6.7109375" style="201" customWidth="1"/>
    <col min="6916" max="6918" width="16.5703125" style="201" customWidth="1"/>
    <col min="6919" max="6919" width="8.42578125" style="201" customWidth="1"/>
    <col min="6920" max="6920" width="13.85546875" style="201" customWidth="1"/>
    <col min="6921" max="6921" width="14.42578125" style="201" customWidth="1"/>
    <col min="6922" max="6922" width="15.5703125" style="201" customWidth="1"/>
    <col min="6923" max="7168" width="8" style="201"/>
    <col min="7169" max="7169" width="18.5703125" style="201" customWidth="1"/>
    <col min="7170" max="7170" width="40.140625" style="201" customWidth="1"/>
    <col min="7171" max="7171" width="6.7109375" style="201" customWidth="1"/>
    <col min="7172" max="7174" width="16.5703125" style="201" customWidth="1"/>
    <col min="7175" max="7175" width="8.42578125" style="201" customWidth="1"/>
    <col min="7176" max="7176" width="13.85546875" style="201" customWidth="1"/>
    <col min="7177" max="7177" width="14.42578125" style="201" customWidth="1"/>
    <col min="7178" max="7178" width="15.5703125" style="201" customWidth="1"/>
    <col min="7179" max="7424" width="8" style="201"/>
    <col min="7425" max="7425" width="18.5703125" style="201" customWidth="1"/>
    <col min="7426" max="7426" width="40.140625" style="201" customWidth="1"/>
    <col min="7427" max="7427" width="6.7109375" style="201" customWidth="1"/>
    <col min="7428" max="7430" width="16.5703125" style="201" customWidth="1"/>
    <col min="7431" max="7431" width="8.42578125" style="201" customWidth="1"/>
    <col min="7432" max="7432" width="13.85546875" style="201" customWidth="1"/>
    <col min="7433" max="7433" width="14.42578125" style="201" customWidth="1"/>
    <col min="7434" max="7434" width="15.5703125" style="201" customWidth="1"/>
    <col min="7435" max="7680" width="8" style="201"/>
    <col min="7681" max="7681" width="18.5703125" style="201" customWidth="1"/>
    <col min="7682" max="7682" width="40.140625" style="201" customWidth="1"/>
    <col min="7683" max="7683" width="6.7109375" style="201" customWidth="1"/>
    <col min="7684" max="7686" width="16.5703125" style="201" customWidth="1"/>
    <col min="7687" max="7687" width="8.42578125" style="201" customWidth="1"/>
    <col min="7688" max="7688" width="13.85546875" style="201" customWidth="1"/>
    <col min="7689" max="7689" width="14.42578125" style="201" customWidth="1"/>
    <col min="7690" max="7690" width="15.5703125" style="201" customWidth="1"/>
    <col min="7691" max="7936" width="8" style="201"/>
    <col min="7937" max="7937" width="18.5703125" style="201" customWidth="1"/>
    <col min="7938" max="7938" width="40.140625" style="201" customWidth="1"/>
    <col min="7939" max="7939" width="6.7109375" style="201" customWidth="1"/>
    <col min="7940" max="7942" width="16.5703125" style="201" customWidth="1"/>
    <col min="7943" max="7943" width="8.42578125" style="201" customWidth="1"/>
    <col min="7944" max="7944" width="13.85546875" style="201" customWidth="1"/>
    <col min="7945" max="7945" width="14.42578125" style="201" customWidth="1"/>
    <col min="7946" max="7946" width="15.5703125" style="201" customWidth="1"/>
    <col min="7947" max="8192" width="8" style="201"/>
    <col min="8193" max="8193" width="18.5703125" style="201" customWidth="1"/>
    <col min="8194" max="8194" width="40.140625" style="201" customWidth="1"/>
    <col min="8195" max="8195" width="6.7109375" style="201" customWidth="1"/>
    <col min="8196" max="8198" width="16.5703125" style="201" customWidth="1"/>
    <col min="8199" max="8199" width="8.42578125" style="201" customWidth="1"/>
    <col min="8200" max="8200" width="13.85546875" style="201" customWidth="1"/>
    <col min="8201" max="8201" width="14.42578125" style="201" customWidth="1"/>
    <col min="8202" max="8202" width="15.5703125" style="201" customWidth="1"/>
    <col min="8203" max="8448" width="8" style="201"/>
    <col min="8449" max="8449" width="18.5703125" style="201" customWidth="1"/>
    <col min="8450" max="8450" width="40.140625" style="201" customWidth="1"/>
    <col min="8451" max="8451" width="6.7109375" style="201" customWidth="1"/>
    <col min="8452" max="8454" width="16.5703125" style="201" customWidth="1"/>
    <col min="8455" max="8455" width="8.42578125" style="201" customWidth="1"/>
    <col min="8456" max="8456" width="13.85546875" style="201" customWidth="1"/>
    <col min="8457" max="8457" width="14.42578125" style="201" customWidth="1"/>
    <col min="8458" max="8458" width="15.5703125" style="201" customWidth="1"/>
    <col min="8459" max="8704" width="8" style="201"/>
    <col min="8705" max="8705" width="18.5703125" style="201" customWidth="1"/>
    <col min="8706" max="8706" width="40.140625" style="201" customWidth="1"/>
    <col min="8707" max="8707" width="6.7109375" style="201" customWidth="1"/>
    <col min="8708" max="8710" width="16.5703125" style="201" customWidth="1"/>
    <col min="8711" max="8711" width="8.42578125" style="201" customWidth="1"/>
    <col min="8712" max="8712" width="13.85546875" style="201" customWidth="1"/>
    <col min="8713" max="8713" width="14.42578125" style="201" customWidth="1"/>
    <col min="8714" max="8714" width="15.5703125" style="201" customWidth="1"/>
    <col min="8715" max="8960" width="8" style="201"/>
    <col min="8961" max="8961" width="18.5703125" style="201" customWidth="1"/>
    <col min="8962" max="8962" width="40.140625" style="201" customWidth="1"/>
    <col min="8963" max="8963" width="6.7109375" style="201" customWidth="1"/>
    <col min="8964" max="8966" width="16.5703125" style="201" customWidth="1"/>
    <col min="8967" max="8967" width="8.42578125" style="201" customWidth="1"/>
    <col min="8968" max="8968" width="13.85546875" style="201" customWidth="1"/>
    <col min="8969" max="8969" width="14.42578125" style="201" customWidth="1"/>
    <col min="8970" max="8970" width="15.5703125" style="201" customWidth="1"/>
    <col min="8971" max="9216" width="8" style="201"/>
    <col min="9217" max="9217" width="18.5703125" style="201" customWidth="1"/>
    <col min="9218" max="9218" width="40.140625" style="201" customWidth="1"/>
    <col min="9219" max="9219" width="6.7109375" style="201" customWidth="1"/>
    <col min="9220" max="9222" width="16.5703125" style="201" customWidth="1"/>
    <col min="9223" max="9223" width="8.42578125" style="201" customWidth="1"/>
    <col min="9224" max="9224" width="13.85546875" style="201" customWidth="1"/>
    <col min="9225" max="9225" width="14.42578125" style="201" customWidth="1"/>
    <col min="9226" max="9226" width="15.5703125" style="201" customWidth="1"/>
    <col min="9227" max="9472" width="8" style="201"/>
    <col min="9473" max="9473" width="18.5703125" style="201" customWidth="1"/>
    <col min="9474" max="9474" width="40.140625" style="201" customWidth="1"/>
    <col min="9475" max="9475" width="6.7109375" style="201" customWidth="1"/>
    <col min="9476" max="9478" width="16.5703125" style="201" customWidth="1"/>
    <col min="9479" max="9479" width="8.42578125" style="201" customWidth="1"/>
    <col min="9480" max="9480" width="13.85546875" style="201" customWidth="1"/>
    <col min="9481" max="9481" width="14.42578125" style="201" customWidth="1"/>
    <col min="9482" max="9482" width="15.5703125" style="201" customWidth="1"/>
    <col min="9483" max="9728" width="8" style="201"/>
    <col min="9729" max="9729" width="18.5703125" style="201" customWidth="1"/>
    <col min="9730" max="9730" width="40.140625" style="201" customWidth="1"/>
    <col min="9731" max="9731" width="6.7109375" style="201" customWidth="1"/>
    <col min="9732" max="9734" width="16.5703125" style="201" customWidth="1"/>
    <col min="9735" max="9735" width="8.42578125" style="201" customWidth="1"/>
    <col min="9736" max="9736" width="13.85546875" style="201" customWidth="1"/>
    <col min="9737" max="9737" width="14.42578125" style="201" customWidth="1"/>
    <col min="9738" max="9738" width="15.5703125" style="201" customWidth="1"/>
    <col min="9739" max="9984" width="8" style="201"/>
    <col min="9985" max="9985" width="18.5703125" style="201" customWidth="1"/>
    <col min="9986" max="9986" width="40.140625" style="201" customWidth="1"/>
    <col min="9987" max="9987" width="6.7109375" style="201" customWidth="1"/>
    <col min="9988" max="9990" width="16.5703125" style="201" customWidth="1"/>
    <col min="9991" max="9991" width="8.42578125" style="201" customWidth="1"/>
    <col min="9992" max="9992" width="13.85546875" style="201" customWidth="1"/>
    <col min="9993" max="9993" width="14.42578125" style="201" customWidth="1"/>
    <col min="9994" max="9994" width="15.5703125" style="201" customWidth="1"/>
    <col min="9995" max="10240" width="8" style="201"/>
    <col min="10241" max="10241" width="18.5703125" style="201" customWidth="1"/>
    <col min="10242" max="10242" width="40.140625" style="201" customWidth="1"/>
    <col min="10243" max="10243" width="6.7109375" style="201" customWidth="1"/>
    <col min="10244" max="10246" width="16.5703125" style="201" customWidth="1"/>
    <col min="10247" max="10247" width="8.42578125" style="201" customWidth="1"/>
    <col min="10248" max="10248" width="13.85546875" style="201" customWidth="1"/>
    <col min="10249" max="10249" width="14.42578125" style="201" customWidth="1"/>
    <col min="10250" max="10250" width="15.5703125" style="201" customWidth="1"/>
    <col min="10251" max="10496" width="8" style="201"/>
    <col min="10497" max="10497" width="18.5703125" style="201" customWidth="1"/>
    <col min="10498" max="10498" width="40.140625" style="201" customWidth="1"/>
    <col min="10499" max="10499" width="6.7109375" style="201" customWidth="1"/>
    <col min="10500" max="10502" width="16.5703125" style="201" customWidth="1"/>
    <col min="10503" max="10503" width="8.42578125" style="201" customWidth="1"/>
    <col min="10504" max="10504" width="13.85546875" style="201" customWidth="1"/>
    <col min="10505" max="10505" width="14.42578125" style="201" customWidth="1"/>
    <col min="10506" max="10506" width="15.5703125" style="201" customWidth="1"/>
    <col min="10507" max="10752" width="8" style="201"/>
    <col min="10753" max="10753" width="18.5703125" style="201" customWidth="1"/>
    <col min="10754" max="10754" width="40.140625" style="201" customWidth="1"/>
    <col min="10755" max="10755" width="6.7109375" style="201" customWidth="1"/>
    <col min="10756" max="10758" width="16.5703125" style="201" customWidth="1"/>
    <col min="10759" max="10759" width="8.42578125" style="201" customWidth="1"/>
    <col min="10760" max="10760" width="13.85546875" style="201" customWidth="1"/>
    <col min="10761" max="10761" width="14.42578125" style="201" customWidth="1"/>
    <col min="10762" max="10762" width="15.5703125" style="201" customWidth="1"/>
    <col min="10763" max="11008" width="8" style="201"/>
    <col min="11009" max="11009" width="18.5703125" style="201" customWidth="1"/>
    <col min="11010" max="11010" width="40.140625" style="201" customWidth="1"/>
    <col min="11011" max="11011" width="6.7109375" style="201" customWidth="1"/>
    <col min="11012" max="11014" width="16.5703125" style="201" customWidth="1"/>
    <col min="11015" max="11015" width="8.42578125" style="201" customWidth="1"/>
    <col min="11016" max="11016" width="13.85546875" style="201" customWidth="1"/>
    <col min="11017" max="11017" width="14.42578125" style="201" customWidth="1"/>
    <col min="11018" max="11018" width="15.5703125" style="201" customWidth="1"/>
    <col min="11019" max="11264" width="8" style="201"/>
    <col min="11265" max="11265" width="18.5703125" style="201" customWidth="1"/>
    <col min="11266" max="11266" width="40.140625" style="201" customWidth="1"/>
    <col min="11267" max="11267" width="6.7109375" style="201" customWidth="1"/>
    <col min="11268" max="11270" width="16.5703125" style="201" customWidth="1"/>
    <col min="11271" max="11271" width="8.42578125" style="201" customWidth="1"/>
    <col min="11272" max="11272" width="13.85546875" style="201" customWidth="1"/>
    <col min="11273" max="11273" width="14.42578125" style="201" customWidth="1"/>
    <col min="11274" max="11274" width="15.5703125" style="201" customWidth="1"/>
    <col min="11275" max="11520" width="8" style="201"/>
    <col min="11521" max="11521" width="18.5703125" style="201" customWidth="1"/>
    <col min="11522" max="11522" width="40.140625" style="201" customWidth="1"/>
    <col min="11523" max="11523" width="6.7109375" style="201" customWidth="1"/>
    <col min="11524" max="11526" width="16.5703125" style="201" customWidth="1"/>
    <col min="11527" max="11527" width="8.42578125" style="201" customWidth="1"/>
    <col min="11528" max="11528" width="13.85546875" style="201" customWidth="1"/>
    <col min="11529" max="11529" width="14.42578125" style="201" customWidth="1"/>
    <col min="11530" max="11530" width="15.5703125" style="201" customWidth="1"/>
    <col min="11531" max="11776" width="8" style="201"/>
    <col min="11777" max="11777" width="18.5703125" style="201" customWidth="1"/>
    <col min="11778" max="11778" width="40.140625" style="201" customWidth="1"/>
    <col min="11779" max="11779" width="6.7109375" style="201" customWidth="1"/>
    <col min="11780" max="11782" width="16.5703125" style="201" customWidth="1"/>
    <col min="11783" max="11783" width="8.42578125" style="201" customWidth="1"/>
    <col min="11784" max="11784" width="13.85546875" style="201" customWidth="1"/>
    <col min="11785" max="11785" width="14.42578125" style="201" customWidth="1"/>
    <col min="11786" max="11786" width="15.5703125" style="201" customWidth="1"/>
    <col min="11787" max="12032" width="8" style="201"/>
    <col min="12033" max="12033" width="18.5703125" style="201" customWidth="1"/>
    <col min="12034" max="12034" width="40.140625" style="201" customWidth="1"/>
    <col min="12035" max="12035" width="6.7109375" style="201" customWidth="1"/>
    <col min="12036" max="12038" width="16.5703125" style="201" customWidth="1"/>
    <col min="12039" max="12039" width="8.42578125" style="201" customWidth="1"/>
    <col min="12040" max="12040" width="13.85546875" style="201" customWidth="1"/>
    <col min="12041" max="12041" width="14.42578125" style="201" customWidth="1"/>
    <col min="12042" max="12042" width="15.5703125" style="201" customWidth="1"/>
    <col min="12043" max="12288" width="8" style="201"/>
    <col min="12289" max="12289" width="18.5703125" style="201" customWidth="1"/>
    <col min="12290" max="12290" width="40.140625" style="201" customWidth="1"/>
    <col min="12291" max="12291" width="6.7109375" style="201" customWidth="1"/>
    <col min="12292" max="12294" width="16.5703125" style="201" customWidth="1"/>
    <col min="12295" max="12295" width="8.42578125" style="201" customWidth="1"/>
    <col min="12296" max="12296" width="13.85546875" style="201" customWidth="1"/>
    <col min="12297" max="12297" width="14.42578125" style="201" customWidth="1"/>
    <col min="12298" max="12298" width="15.5703125" style="201" customWidth="1"/>
    <col min="12299" max="12544" width="8" style="201"/>
    <col min="12545" max="12545" width="18.5703125" style="201" customWidth="1"/>
    <col min="12546" max="12546" width="40.140625" style="201" customWidth="1"/>
    <col min="12547" max="12547" width="6.7109375" style="201" customWidth="1"/>
    <col min="12548" max="12550" width="16.5703125" style="201" customWidth="1"/>
    <col min="12551" max="12551" width="8.42578125" style="201" customWidth="1"/>
    <col min="12552" max="12552" width="13.85546875" style="201" customWidth="1"/>
    <col min="12553" max="12553" width="14.42578125" style="201" customWidth="1"/>
    <col min="12554" max="12554" width="15.5703125" style="201" customWidth="1"/>
    <col min="12555" max="12800" width="8" style="201"/>
    <col min="12801" max="12801" width="18.5703125" style="201" customWidth="1"/>
    <col min="12802" max="12802" width="40.140625" style="201" customWidth="1"/>
    <col min="12803" max="12803" width="6.7109375" style="201" customWidth="1"/>
    <col min="12804" max="12806" width="16.5703125" style="201" customWidth="1"/>
    <col min="12807" max="12807" width="8.42578125" style="201" customWidth="1"/>
    <col min="12808" max="12808" width="13.85546875" style="201" customWidth="1"/>
    <col min="12809" max="12809" width="14.42578125" style="201" customWidth="1"/>
    <col min="12810" max="12810" width="15.5703125" style="201" customWidth="1"/>
    <col min="12811" max="13056" width="8" style="201"/>
    <col min="13057" max="13057" width="18.5703125" style="201" customWidth="1"/>
    <col min="13058" max="13058" width="40.140625" style="201" customWidth="1"/>
    <col min="13059" max="13059" width="6.7109375" style="201" customWidth="1"/>
    <col min="13060" max="13062" width="16.5703125" style="201" customWidth="1"/>
    <col min="13063" max="13063" width="8.42578125" style="201" customWidth="1"/>
    <col min="13064" max="13064" width="13.85546875" style="201" customWidth="1"/>
    <col min="13065" max="13065" width="14.42578125" style="201" customWidth="1"/>
    <col min="13066" max="13066" width="15.5703125" style="201" customWidth="1"/>
    <col min="13067" max="13312" width="8" style="201"/>
    <col min="13313" max="13313" width="18.5703125" style="201" customWidth="1"/>
    <col min="13314" max="13314" width="40.140625" style="201" customWidth="1"/>
    <col min="13315" max="13315" width="6.7109375" style="201" customWidth="1"/>
    <col min="13316" max="13318" width="16.5703125" style="201" customWidth="1"/>
    <col min="13319" max="13319" width="8.42578125" style="201" customWidth="1"/>
    <col min="13320" max="13320" width="13.85546875" style="201" customWidth="1"/>
    <col min="13321" max="13321" width="14.42578125" style="201" customWidth="1"/>
    <col min="13322" max="13322" width="15.5703125" style="201" customWidth="1"/>
    <col min="13323" max="13568" width="8" style="201"/>
    <col min="13569" max="13569" width="18.5703125" style="201" customWidth="1"/>
    <col min="13570" max="13570" width="40.140625" style="201" customWidth="1"/>
    <col min="13571" max="13571" width="6.7109375" style="201" customWidth="1"/>
    <col min="13572" max="13574" width="16.5703125" style="201" customWidth="1"/>
    <col min="13575" max="13575" width="8.42578125" style="201" customWidth="1"/>
    <col min="13576" max="13576" width="13.85546875" style="201" customWidth="1"/>
    <col min="13577" max="13577" width="14.42578125" style="201" customWidth="1"/>
    <col min="13578" max="13578" width="15.5703125" style="201" customWidth="1"/>
    <col min="13579" max="13824" width="8" style="201"/>
    <col min="13825" max="13825" width="18.5703125" style="201" customWidth="1"/>
    <col min="13826" max="13826" width="40.140625" style="201" customWidth="1"/>
    <col min="13827" max="13827" width="6.7109375" style="201" customWidth="1"/>
    <col min="13828" max="13830" width="16.5703125" style="201" customWidth="1"/>
    <col min="13831" max="13831" width="8.42578125" style="201" customWidth="1"/>
    <col min="13832" max="13832" width="13.85546875" style="201" customWidth="1"/>
    <col min="13833" max="13833" width="14.42578125" style="201" customWidth="1"/>
    <col min="13834" max="13834" width="15.5703125" style="201" customWidth="1"/>
    <col min="13835" max="14080" width="8" style="201"/>
    <col min="14081" max="14081" width="18.5703125" style="201" customWidth="1"/>
    <col min="14082" max="14082" width="40.140625" style="201" customWidth="1"/>
    <col min="14083" max="14083" width="6.7109375" style="201" customWidth="1"/>
    <col min="14084" max="14086" width="16.5703125" style="201" customWidth="1"/>
    <col min="14087" max="14087" width="8.42578125" style="201" customWidth="1"/>
    <col min="14088" max="14088" width="13.85546875" style="201" customWidth="1"/>
    <col min="14089" max="14089" width="14.42578125" style="201" customWidth="1"/>
    <col min="14090" max="14090" width="15.5703125" style="201" customWidth="1"/>
    <col min="14091" max="14336" width="8" style="201"/>
    <col min="14337" max="14337" width="18.5703125" style="201" customWidth="1"/>
    <col min="14338" max="14338" width="40.140625" style="201" customWidth="1"/>
    <col min="14339" max="14339" width="6.7109375" style="201" customWidth="1"/>
    <col min="14340" max="14342" width="16.5703125" style="201" customWidth="1"/>
    <col min="14343" max="14343" width="8.42578125" style="201" customWidth="1"/>
    <col min="14344" max="14344" width="13.85546875" style="201" customWidth="1"/>
    <col min="14345" max="14345" width="14.42578125" style="201" customWidth="1"/>
    <col min="14346" max="14346" width="15.5703125" style="201" customWidth="1"/>
    <col min="14347" max="14592" width="8" style="201"/>
    <col min="14593" max="14593" width="18.5703125" style="201" customWidth="1"/>
    <col min="14594" max="14594" width="40.140625" style="201" customWidth="1"/>
    <col min="14595" max="14595" width="6.7109375" style="201" customWidth="1"/>
    <col min="14596" max="14598" width="16.5703125" style="201" customWidth="1"/>
    <col min="14599" max="14599" width="8.42578125" style="201" customWidth="1"/>
    <col min="14600" max="14600" width="13.85546875" style="201" customWidth="1"/>
    <col min="14601" max="14601" width="14.42578125" style="201" customWidth="1"/>
    <col min="14602" max="14602" width="15.5703125" style="201" customWidth="1"/>
    <col min="14603" max="14848" width="8" style="201"/>
    <col min="14849" max="14849" width="18.5703125" style="201" customWidth="1"/>
    <col min="14850" max="14850" width="40.140625" style="201" customWidth="1"/>
    <col min="14851" max="14851" width="6.7109375" style="201" customWidth="1"/>
    <col min="14852" max="14854" width="16.5703125" style="201" customWidth="1"/>
    <col min="14855" max="14855" width="8.42578125" style="201" customWidth="1"/>
    <col min="14856" max="14856" width="13.85546875" style="201" customWidth="1"/>
    <col min="14857" max="14857" width="14.42578125" style="201" customWidth="1"/>
    <col min="14858" max="14858" width="15.5703125" style="201" customWidth="1"/>
    <col min="14859" max="15104" width="8" style="201"/>
    <col min="15105" max="15105" width="18.5703125" style="201" customWidth="1"/>
    <col min="15106" max="15106" width="40.140625" style="201" customWidth="1"/>
    <col min="15107" max="15107" width="6.7109375" style="201" customWidth="1"/>
    <col min="15108" max="15110" width="16.5703125" style="201" customWidth="1"/>
    <col min="15111" max="15111" width="8.42578125" style="201" customWidth="1"/>
    <col min="15112" max="15112" width="13.85546875" style="201" customWidth="1"/>
    <col min="15113" max="15113" width="14.42578125" style="201" customWidth="1"/>
    <col min="15114" max="15114" width="15.5703125" style="201" customWidth="1"/>
    <col min="15115" max="15360" width="8" style="201"/>
    <col min="15361" max="15361" width="18.5703125" style="201" customWidth="1"/>
    <col min="15362" max="15362" width="40.140625" style="201" customWidth="1"/>
    <col min="15363" max="15363" width="6.7109375" style="201" customWidth="1"/>
    <col min="15364" max="15366" width="16.5703125" style="201" customWidth="1"/>
    <col min="15367" max="15367" width="8.42578125" style="201" customWidth="1"/>
    <col min="15368" max="15368" width="13.85546875" style="201" customWidth="1"/>
    <col min="15369" max="15369" width="14.42578125" style="201" customWidth="1"/>
    <col min="15370" max="15370" width="15.5703125" style="201" customWidth="1"/>
    <col min="15371" max="15616" width="8" style="201"/>
    <col min="15617" max="15617" width="18.5703125" style="201" customWidth="1"/>
    <col min="15618" max="15618" width="40.140625" style="201" customWidth="1"/>
    <col min="15619" max="15619" width="6.7109375" style="201" customWidth="1"/>
    <col min="15620" max="15622" width="16.5703125" style="201" customWidth="1"/>
    <col min="15623" max="15623" width="8.42578125" style="201" customWidth="1"/>
    <col min="15624" max="15624" width="13.85546875" style="201" customWidth="1"/>
    <col min="15625" max="15625" width="14.42578125" style="201" customWidth="1"/>
    <col min="15626" max="15626" width="15.5703125" style="201" customWidth="1"/>
    <col min="15627" max="15872" width="8" style="201"/>
    <col min="15873" max="15873" width="18.5703125" style="201" customWidth="1"/>
    <col min="15874" max="15874" width="40.140625" style="201" customWidth="1"/>
    <col min="15875" max="15875" width="6.7109375" style="201" customWidth="1"/>
    <col min="15876" max="15878" width="16.5703125" style="201" customWidth="1"/>
    <col min="15879" max="15879" width="8.42578125" style="201" customWidth="1"/>
    <col min="15880" max="15880" width="13.85546875" style="201" customWidth="1"/>
    <col min="15881" max="15881" width="14.42578125" style="201" customWidth="1"/>
    <col min="15882" max="15882" width="15.5703125" style="201" customWidth="1"/>
    <col min="15883" max="16128" width="8" style="201"/>
    <col min="16129" max="16129" width="18.5703125" style="201" customWidth="1"/>
    <col min="16130" max="16130" width="40.140625" style="201" customWidth="1"/>
    <col min="16131" max="16131" width="6.7109375" style="201" customWidth="1"/>
    <col min="16132" max="16134" width="16.5703125" style="201" customWidth="1"/>
    <col min="16135" max="16135" width="8.42578125" style="201" customWidth="1"/>
    <col min="16136" max="16136" width="13.85546875" style="201" customWidth="1"/>
    <col min="16137" max="16137" width="14.42578125" style="201" customWidth="1"/>
    <col min="16138" max="16138" width="15.5703125" style="201" customWidth="1"/>
    <col min="16139" max="16384" width="8" style="201"/>
  </cols>
  <sheetData>
    <row r="1" spans="1:9" ht="15">
      <c r="A1" s="200"/>
      <c r="F1" s="1317"/>
      <c r="G1" s="1317"/>
    </row>
    <row r="2" spans="1:9" ht="24.75" customHeight="1">
      <c r="A2" s="358" t="s">
        <v>157</v>
      </c>
    </row>
    <row r="3" spans="1:9" ht="16.5" customHeight="1">
      <c r="A3" s="1318" t="s">
        <v>211</v>
      </c>
      <c r="B3" s="1318"/>
    </row>
    <row r="4" spans="1:9" ht="43.5" customHeight="1" thickBot="1">
      <c r="A4" s="202"/>
      <c r="B4" s="202"/>
      <c r="G4" s="357" t="s">
        <v>0</v>
      </c>
    </row>
    <row r="5" spans="1:9" ht="25.5" customHeight="1" thickBot="1">
      <c r="A5" s="1321" t="s">
        <v>158</v>
      </c>
      <c r="B5" s="1321" t="s">
        <v>29</v>
      </c>
      <c r="C5" s="1319" t="s">
        <v>154</v>
      </c>
      <c r="D5" s="1320"/>
      <c r="E5" s="1321" t="s">
        <v>209</v>
      </c>
      <c r="F5" s="1321" t="s">
        <v>210</v>
      </c>
      <c r="G5" s="1321" t="s">
        <v>5</v>
      </c>
    </row>
    <row r="6" spans="1:9" s="203" customFormat="1" ht="26.25" thickBot="1">
      <c r="A6" s="1323"/>
      <c r="B6" s="1323"/>
      <c r="C6" s="241" t="s">
        <v>207</v>
      </c>
      <c r="D6" s="241" t="s">
        <v>208</v>
      </c>
      <c r="E6" s="1322"/>
      <c r="F6" s="1322" t="s">
        <v>159</v>
      </c>
      <c r="G6" s="1322" t="s">
        <v>160</v>
      </c>
    </row>
    <row r="7" spans="1:9" s="206" customFormat="1" ht="13.5" customHeight="1" thickBot="1">
      <c r="A7" s="1324"/>
      <c r="B7" s="1324"/>
      <c r="C7" s="204" t="s">
        <v>161</v>
      </c>
      <c r="D7" s="204" t="s">
        <v>162</v>
      </c>
      <c r="E7" s="204" t="s">
        <v>163</v>
      </c>
      <c r="F7" s="204" t="s">
        <v>164</v>
      </c>
      <c r="G7" s="205" t="s">
        <v>47</v>
      </c>
    </row>
    <row r="8" spans="1:9" s="211" customFormat="1" ht="27.75" customHeight="1" thickTop="1" thickBot="1">
      <c r="A8" s="207" t="s">
        <v>165</v>
      </c>
      <c r="B8" s="208" t="s">
        <v>166</v>
      </c>
      <c r="C8" s="252">
        <v>7904049.29</v>
      </c>
      <c r="D8" s="252">
        <v>11506048.76</v>
      </c>
      <c r="E8" s="209">
        <v>0</v>
      </c>
      <c r="F8" s="209">
        <v>8796786.8900000006</v>
      </c>
      <c r="G8" s="210">
        <f>F8/D8*100</f>
        <v>76.453586052767605</v>
      </c>
    </row>
    <row r="9" spans="1:9" s="211" customFormat="1" ht="27.75" customHeight="1" thickTop="1" thickBot="1">
      <c r="A9" s="212"/>
      <c r="B9" s="208" t="s">
        <v>167</v>
      </c>
      <c r="C9" s="252">
        <v>55071981.659999996</v>
      </c>
      <c r="D9" s="252">
        <v>60446522.68</v>
      </c>
      <c r="E9" s="209">
        <v>66510800.619999997</v>
      </c>
      <c r="F9" s="252">
        <v>62887497.16578</v>
      </c>
      <c r="G9" s="210">
        <f>F9/D9*100</f>
        <v>104.03823806160423</v>
      </c>
      <c r="H9" s="251"/>
    </row>
    <row r="10" spans="1:9" s="217" customFormat="1" ht="38.25" customHeight="1" thickTop="1" thickBot="1">
      <c r="A10" s="213" t="s">
        <v>220</v>
      </c>
      <c r="B10" s="214" t="s">
        <v>168</v>
      </c>
      <c r="C10" s="253">
        <v>13000</v>
      </c>
      <c r="D10" s="253">
        <v>13000</v>
      </c>
      <c r="E10" s="215">
        <v>0</v>
      </c>
      <c r="F10" s="215">
        <v>4679.2299999999996</v>
      </c>
      <c r="G10" s="216">
        <f>F10/D10*100</f>
        <v>35.994076923076918</v>
      </c>
      <c r="H10" s="242"/>
    </row>
    <row r="11" spans="1:9" s="217" customFormat="1" ht="24.75" customHeight="1" thickBot="1">
      <c r="A11" s="218"/>
      <c r="B11" s="219" t="s">
        <v>169</v>
      </c>
      <c r="C11" s="254">
        <v>6207082.8300000001</v>
      </c>
      <c r="D11" s="254">
        <v>6207082.8339999998</v>
      </c>
      <c r="E11" s="220">
        <v>0</v>
      </c>
      <c r="F11" s="220">
        <v>6186744.9400000004</v>
      </c>
      <c r="G11" s="216">
        <f t="shared" ref="G11:G49" si="0">F11/D11*100</f>
        <v>99.672343763666305</v>
      </c>
      <c r="H11" s="242"/>
    </row>
    <row r="12" spans="1:9" s="224" customFormat="1" ht="17.25" customHeight="1" thickBot="1">
      <c r="A12" s="222"/>
      <c r="B12" s="223" t="s">
        <v>170</v>
      </c>
      <c r="C12" s="254">
        <v>5512609.7800000003</v>
      </c>
      <c r="D12" s="254">
        <v>5512609.7769999998</v>
      </c>
      <c r="E12" s="220">
        <v>0</v>
      </c>
      <c r="F12" s="220">
        <v>5617229.3700000001</v>
      </c>
      <c r="G12" s="216">
        <f t="shared" si="0"/>
        <v>101.8978233038823</v>
      </c>
    </row>
    <row r="13" spans="1:9" s="224" customFormat="1" ht="24.75" thickBot="1">
      <c r="A13" s="222"/>
      <c r="B13" s="223" t="s">
        <v>171</v>
      </c>
      <c r="C13" s="254">
        <v>694473.06</v>
      </c>
      <c r="D13" s="254">
        <v>694473.05700000003</v>
      </c>
      <c r="E13" s="220">
        <v>0</v>
      </c>
      <c r="F13" s="220">
        <v>569515.56999999995</v>
      </c>
      <c r="G13" s="216">
        <f t="shared" si="0"/>
        <v>82.006863226660769</v>
      </c>
    </row>
    <row r="14" spans="1:9" s="217" customFormat="1" ht="24.75" thickBot="1">
      <c r="A14" s="218"/>
      <c r="B14" s="219" t="s">
        <v>172</v>
      </c>
      <c r="C14" s="220">
        <v>1683966.46</v>
      </c>
      <c r="D14" s="220">
        <v>5285965.93</v>
      </c>
      <c r="E14" s="220">
        <v>0</v>
      </c>
      <c r="F14" s="220">
        <f>SUM(F15:F17)</f>
        <v>2605362.7199999997</v>
      </c>
      <c r="G14" s="216">
        <f t="shared" si="0"/>
        <v>49.288299518040965</v>
      </c>
    </row>
    <row r="15" spans="1:9" s="224" customFormat="1" ht="24.75" thickBot="1">
      <c r="A15" s="222"/>
      <c r="B15" s="223" t="s">
        <v>212</v>
      </c>
      <c r="C15" s="220">
        <v>610267.17000000004</v>
      </c>
      <c r="D15" s="220">
        <v>4212266.6399999997</v>
      </c>
      <c r="E15" s="220">
        <v>0</v>
      </c>
      <c r="F15" s="220">
        <v>1275938.67</v>
      </c>
      <c r="G15" s="216">
        <f t="shared" si="0"/>
        <v>30.291023314706404</v>
      </c>
      <c r="H15" s="255"/>
    </row>
    <row r="16" spans="1:9" s="224" customFormat="1" ht="17.25" customHeight="1" thickBot="1">
      <c r="A16" s="222"/>
      <c r="B16" s="223" t="s">
        <v>173</v>
      </c>
      <c r="C16" s="220">
        <v>173699.29</v>
      </c>
      <c r="D16" s="220">
        <v>173699.29</v>
      </c>
      <c r="E16" s="220">
        <v>0</v>
      </c>
      <c r="F16" s="220">
        <v>44334.27</v>
      </c>
      <c r="G16" s="216">
        <f t="shared" si="0"/>
        <v>25.523575830390556</v>
      </c>
      <c r="I16" s="255"/>
    </row>
    <row r="17" spans="1:10" s="224" customFormat="1" ht="24.75" thickBot="1">
      <c r="A17" s="225"/>
      <c r="B17" s="226" t="s">
        <v>174</v>
      </c>
      <c r="C17" s="227">
        <v>900000</v>
      </c>
      <c r="D17" s="227">
        <v>900000</v>
      </c>
      <c r="E17" s="227">
        <v>0</v>
      </c>
      <c r="F17" s="227">
        <v>1285089.78</v>
      </c>
      <c r="G17" s="216">
        <f t="shared" si="0"/>
        <v>142.78775333333334</v>
      </c>
      <c r="H17" s="255"/>
    </row>
    <row r="18" spans="1:10" s="217" customFormat="1" ht="40.5" customHeight="1" thickTop="1" thickBot="1">
      <c r="A18" s="228" t="s">
        <v>221</v>
      </c>
      <c r="B18" s="229" t="s">
        <v>175</v>
      </c>
      <c r="C18" s="230">
        <v>29215822.613000002</v>
      </c>
      <c r="D18" s="230">
        <v>32855651.805</v>
      </c>
      <c r="E18" s="230">
        <v>34709635.182999998</v>
      </c>
      <c r="F18" s="230">
        <v>33857087.880010001</v>
      </c>
      <c r="G18" s="216">
        <f t="shared" si="0"/>
        <v>103.04798724114066</v>
      </c>
    </row>
    <row r="19" spans="1:10" s="217" customFormat="1" ht="17.25" customHeight="1" thickBot="1">
      <c r="A19" s="218"/>
      <c r="B19" s="219" t="s">
        <v>176</v>
      </c>
      <c r="C19" s="220">
        <v>7224658.3880000003</v>
      </c>
      <c r="D19" s="220">
        <v>8677353.7550000008</v>
      </c>
      <c r="E19" s="220">
        <v>10695315.399</v>
      </c>
      <c r="F19" s="220">
        <v>10150782.31075</v>
      </c>
      <c r="G19" s="216">
        <f t="shared" si="0"/>
        <v>116.98016005053373</v>
      </c>
    </row>
    <row r="20" spans="1:10" s="217" customFormat="1" ht="34.5" customHeight="1" thickBot="1">
      <c r="A20" s="218"/>
      <c r="B20" s="219" t="s">
        <v>177</v>
      </c>
      <c r="C20" s="220">
        <v>9146173.4250000007</v>
      </c>
      <c r="D20" s="220">
        <v>9656905.8300000001</v>
      </c>
      <c r="E20" s="220">
        <v>11829670.174000001</v>
      </c>
      <c r="F20" s="220">
        <v>9925290.4534600005</v>
      </c>
      <c r="G20" s="216">
        <f t="shared" si="0"/>
        <v>102.77919892960166</v>
      </c>
    </row>
    <row r="21" spans="1:10" s="217" customFormat="1" ht="17.25" customHeight="1" thickBot="1">
      <c r="A21" s="218"/>
      <c r="B21" s="219" t="s">
        <v>178</v>
      </c>
      <c r="C21" s="220">
        <v>48201.235000000001</v>
      </c>
      <c r="D21" s="220">
        <v>201184.35</v>
      </c>
      <c r="E21" s="220">
        <v>220752.927</v>
      </c>
      <c r="F21" s="220">
        <v>192001.55984999999</v>
      </c>
      <c r="G21" s="216">
        <f t="shared" si="0"/>
        <v>95.435633959599727</v>
      </c>
    </row>
    <row r="22" spans="1:10" s="217" customFormat="1" ht="17.25" customHeight="1" thickBot="1">
      <c r="A22" s="218"/>
      <c r="B22" s="219" t="s">
        <v>179</v>
      </c>
      <c r="C22" s="220">
        <v>4997311</v>
      </c>
      <c r="D22" s="220">
        <v>4897311</v>
      </c>
      <c r="E22" s="220">
        <v>4897311</v>
      </c>
      <c r="F22" s="220">
        <v>4837976.7402999997</v>
      </c>
      <c r="G22" s="216">
        <f t="shared" si="0"/>
        <v>98.788431861893187</v>
      </c>
    </row>
    <row r="23" spans="1:10" s="217" customFormat="1" ht="17.25" customHeight="1" thickBot="1">
      <c r="A23" s="232"/>
      <c r="B23" s="233" t="s">
        <v>180</v>
      </c>
      <c r="C23" s="227">
        <v>4439815</v>
      </c>
      <c r="D23" s="227">
        <v>4158115.9350000001</v>
      </c>
      <c r="E23" s="227">
        <v>4158115.9350000001</v>
      </c>
      <c r="F23" s="227">
        <v>3924358.22168</v>
      </c>
      <c r="G23" s="216">
        <f t="shared" si="0"/>
        <v>94.378278119847565</v>
      </c>
      <c r="H23" s="234"/>
      <c r="I23" s="234"/>
      <c r="J23" s="234"/>
    </row>
    <row r="24" spans="1:10" s="217" customFormat="1" ht="28.5" customHeight="1" thickTop="1" thickBot="1">
      <c r="A24" s="228" t="s">
        <v>181</v>
      </c>
      <c r="B24" s="229" t="s">
        <v>182</v>
      </c>
      <c r="C24" s="230">
        <v>24439835.539999999</v>
      </c>
      <c r="D24" s="230">
        <v>24977263.02</v>
      </c>
      <c r="E24" s="230">
        <v>25333455.57</v>
      </c>
      <c r="F24" s="230">
        <v>25162451.66</v>
      </c>
      <c r="G24" s="231">
        <f t="shared" si="0"/>
        <v>100.7414288741393</v>
      </c>
    </row>
    <row r="25" spans="1:10" s="217" customFormat="1" ht="17.25" customHeight="1" thickBot="1">
      <c r="A25" s="218"/>
      <c r="B25" s="219" t="s">
        <v>183</v>
      </c>
      <c r="C25" s="220">
        <v>8246760.9400000004</v>
      </c>
      <c r="D25" s="220">
        <v>8406994.2599999998</v>
      </c>
      <c r="E25" s="220">
        <v>8453118.5</v>
      </c>
      <c r="F25" s="220">
        <v>8354290.0599999996</v>
      </c>
      <c r="G25" s="221">
        <f t="shared" si="0"/>
        <v>99.373091043361796</v>
      </c>
    </row>
    <row r="26" spans="1:10" s="217" customFormat="1" ht="17.25" customHeight="1" thickBot="1">
      <c r="A26" s="218"/>
      <c r="B26" s="219" t="s">
        <v>184</v>
      </c>
      <c r="C26" s="220">
        <v>241575.56</v>
      </c>
      <c r="D26" s="220">
        <v>246727.59</v>
      </c>
      <c r="E26" s="220">
        <v>249433.51</v>
      </c>
      <c r="F26" s="254">
        <v>248613.09</v>
      </c>
      <c r="G26" s="221">
        <f t="shared" si="0"/>
        <v>100.76420314404237</v>
      </c>
    </row>
    <row r="27" spans="1:10" s="217" customFormat="1" ht="17.25" customHeight="1" thickBot="1">
      <c r="A27" s="218"/>
      <c r="B27" s="219" t="s">
        <v>186</v>
      </c>
      <c r="C27" s="220">
        <v>3848678.13</v>
      </c>
      <c r="D27" s="220">
        <v>4116033.04</v>
      </c>
      <c r="E27" s="220">
        <v>4382238.55</v>
      </c>
      <c r="F27" s="220">
        <v>4325556.38</v>
      </c>
      <c r="G27" s="221">
        <f t="shared" si="0"/>
        <v>105.09041929362159</v>
      </c>
    </row>
    <row r="28" spans="1:10" s="217" customFormat="1" ht="24.75" customHeight="1" thickBot="1">
      <c r="A28" s="218"/>
      <c r="B28" s="219" t="s">
        <v>185</v>
      </c>
      <c r="C28" s="220">
        <v>19842087.370000001</v>
      </c>
      <c r="D28" s="220">
        <v>20178431.579999998</v>
      </c>
      <c r="E28" s="220">
        <v>20227456.120000001</v>
      </c>
      <c r="F28" s="220">
        <v>20205867.059999999</v>
      </c>
      <c r="G28" s="221">
        <f t="shared" si="0"/>
        <v>100.13596438301575</v>
      </c>
    </row>
    <row r="29" spans="1:10" s="217" customFormat="1" ht="17.25" customHeight="1" thickBot="1">
      <c r="A29" s="218"/>
      <c r="B29" s="219" t="s">
        <v>200</v>
      </c>
      <c r="C29" s="220">
        <v>466840.63</v>
      </c>
      <c r="D29" s="220">
        <v>377518.68</v>
      </c>
      <c r="E29" s="220">
        <v>385073.98</v>
      </c>
      <c r="F29" s="220">
        <v>318489.86</v>
      </c>
      <c r="G29" s="221">
        <f t="shared" si="0"/>
        <v>84.364000213181498</v>
      </c>
    </row>
    <row r="30" spans="1:10" s="217" customFormat="1" ht="36.75" thickBot="1">
      <c r="A30" s="218"/>
      <c r="B30" s="219" t="s">
        <v>187</v>
      </c>
      <c r="C30" s="220">
        <v>359930</v>
      </c>
      <c r="D30" s="220">
        <v>339754.6</v>
      </c>
      <c r="E30" s="220">
        <v>695056.85</v>
      </c>
      <c r="F30" s="220">
        <v>419573.71</v>
      </c>
      <c r="G30" s="221">
        <f t="shared" si="0"/>
        <v>123.49316536111654</v>
      </c>
    </row>
    <row r="31" spans="1:10" s="224" customFormat="1" ht="17.25" customHeight="1" thickBot="1">
      <c r="A31" s="222"/>
      <c r="B31" s="223" t="s">
        <v>188</v>
      </c>
      <c r="C31" s="235">
        <v>359930</v>
      </c>
      <c r="D31" s="235">
        <v>339754.6</v>
      </c>
      <c r="E31" s="235">
        <v>695056.85</v>
      </c>
      <c r="F31" s="235">
        <v>419573.71</v>
      </c>
      <c r="G31" s="236">
        <f t="shared" si="0"/>
        <v>123.49316536111654</v>
      </c>
    </row>
    <row r="32" spans="1:10" s="224" customFormat="1" ht="17.25" customHeight="1" thickBot="1">
      <c r="A32" s="222"/>
      <c r="B32" s="223" t="s">
        <v>189</v>
      </c>
      <c r="C32" s="235">
        <v>59930</v>
      </c>
      <c r="D32" s="235">
        <v>53749</v>
      </c>
      <c r="E32" s="235">
        <v>71908.92</v>
      </c>
      <c r="F32" s="235">
        <v>47110.18</v>
      </c>
      <c r="G32" s="236">
        <f t="shared" si="0"/>
        <v>87.648477180970801</v>
      </c>
    </row>
    <row r="33" spans="1:7" s="224" customFormat="1" ht="17.25" customHeight="1" thickBot="1">
      <c r="A33" s="222"/>
      <c r="B33" s="223" t="s">
        <v>190</v>
      </c>
      <c r="C33" s="235">
        <v>300000</v>
      </c>
      <c r="D33" s="235">
        <v>286005.59999999998</v>
      </c>
      <c r="E33" s="235">
        <v>623147.93999999994</v>
      </c>
      <c r="F33" s="235">
        <v>372463.53</v>
      </c>
      <c r="G33" s="236">
        <f t="shared" si="0"/>
        <v>130.22945354916129</v>
      </c>
    </row>
    <row r="34" spans="1:7" s="224" customFormat="1" ht="17.25" customHeight="1" thickBot="1">
      <c r="A34" s="222"/>
      <c r="B34" s="237" t="s">
        <v>191</v>
      </c>
      <c r="C34" s="235">
        <v>0</v>
      </c>
      <c r="D34" s="235">
        <v>0</v>
      </c>
      <c r="E34" s="235">
        <v>0</v>
      </c>
      <c r="F34" s="235">
        <v>0</v>
      </c>
      <c r="G34" s="236"/>
    </row>
    <row r="35" spans="1:7" s="217" customFormat="1" ht="24" customHeight="1" thickBot="1">
      <c r="A35" s="218"/>
      <c r="B35" s="219" t="s">
        <v>192</v>
      </c>
      <c r="C35" s="220">
        <v>300000</v>
      </c>
      <c r="D35" s="220">
        <v>285203.59999999998</v>
      </c>
      <c r="E35" s="220">
        <v>622345.93999999994</v>
      </c>
      <c r="F35" s="220">
        <v>371942.92</v>
      </c>
      <c r="G35" s="236">
        <f t="shared" si="0"/>
        <v>130.41312241500458</v>
      </c>
    </row>
    <row r="36" spans="1:7" s="217" customFormat="1" ht="24" customHeight="1" thickBot="1">
      <c r="A36" s="218"/>
      <c r="B36" s="219" t="s">
        <v>193</v>
      </c>
      <c r="C36" s="220">
        <v>0</v>
      </c>
      <c r="D36" s="220">
        <v>0</v>
      </c>
      <c r="E36" s="220">
        <v>0</v>
      </c>
      <c r="F36" s="220">
        <v>0</v>
      </c>
      <c r="G36" s="236"/>
    </row>
    <row r="37" spans="1:7" s="217" customFormat="1" ht="32.25" customHeight="1" thickBot="1">
      <c r="A37" s="218"/>
      <c r="B37" s="219" t="s">
        <v>194</v>
      </c>
      <c r="C37" s="220">
        <v>55159</v>
      </c>
      <c r="D37" s="220">
        <v>48978</v>
      </c>
      <c r="E37" s="220">
        <v>53872.77</v>
      </c>
      <c r="F37" s="220">
        <v>43420.59</v>
      </c>
      <c r="G37" s="236">
        <f t="shared" si="0"/>
        <v>88.653252480705618</v>
      </c>
    </row>
    <row r="38" spans="1:7" s="217" customFormat="1" ht="24" customHeight="1" thickBot="1">
      <c r="A38" s="218"/>
      <c r="B38" s="219" t="s">
        <v>195</v>
      </c>
      <c r="C38" s="220">
        <v>0</v>
      </c>
      <c r="D38" s="220">
        <v>0</v>
      </c>
      <c r="E38" s="220">
        <v>0</v>
      </c>
      <c r="F38" s="220">
        <v>0</v>
      </c>
      <c r="G38" s="236"/>
    </row>
    <row r="39" spans="1:7" s="217" customFormat="1" ht="17.25" customHeight="1" thickBot="1">
      <c r="A39" s="218"/>
      <c r="B39" s="219" t="s">
        <v>196</v>
      </c>
      <c r="C39" s="220">
        <v>0</v>
      </c>
      <c r="D39" s="220">
        <v>10348.73</v>
      </c>
      <c r="E39" s="220">
        <v>10731.69</v>
      </c>
      <c r="F39" s="220">
        <v>4908.57</v>
      </c>
      <c r="G39" s="236">
        <f t="shared" si="0"/>
        <v>47.431617212933375</v>
      </c>
    </row>
    <row r="40" spans="1:7" s="217" customFormat="1" ht="17.25" customHeight="1" thickBot="1">
      <c r="A40" s="218"/>
      <c r="B40" s="219" t="s">
        <v>197</v>
      </c>
      <c r="C40" s="220">
        <v>56250</v>
      </c>
      <c r="D40" s="220">
        <v>61875</v>
      </c>
      <c r="E40" s="220">
        <v>65615.649999999994</v>
      </c>
      <c r="F40" s="220">
        <v>60160.91</v>
      </c>
      <c r="G40" s="236">
        <f t="shared" si="0"/>
        <v>97.229753535353538</v>
      </c>
    </row>
    <row r="41" spans="1:7" s="217" customFormat="1" ht="24.75" customHeight="1" thickBot="1">
      <c r="A41" s="218"/>
      <c r="B41" s="219" t="s">
        <v>198</v>
      </c>
      <c r="C41" s="220">
        <v>0</v>
      </c>
      <c r="D41" s="220">
        <v>72</v>
      </c>
      <c r="E41" s="220">
        <v>72</v>
      </c>
      <c r="F41" s="220">
        <v>45.75</v>
      </c>
      <c r="G41" s="236">
        <f t="shared" si="0"/>
        <v>63.541666666666664</v>
      </c>
    </row>
    <row r="42" spans="1:7" s="217" customFormat="1" ht="24.75" customHeight="1" thickBot="1">
      <c r="A42" s="218"/>
      <c r="B42" s="219" t="s">
        <v>199</v>
      </c>
      <c r="C42" s="220">
        <v>50</v>
      </c>
      <c r="D42" s="220">
        <v>6645.2</v>
      </c>
      <c r="E42" s="220">
        <v>21747.7</v>
      </c>
      <c r="F42" s="220">
        <v>17735.64</v>
      </c>
      <c r="G42" s="236">
        <f t="shared" si="0"/>
        <v>266.89399867573587</v>
      </c>
    </row>
    <row r="43" spans="1:7" s="217" customFormat="1" ht="35.25" customHeight="1" thickBot="1">
      <c r="A43" s="218"/>
      <c r="B43" s="219" t="s">
        <v>201</v>
      </c>
      <c r="C43" s="220">
        <v>813187.33</v>
      </c>
      <c r="D43" s="220">
        <v>4430360.16</v>
      </c>
      <c r="E43" s="220">
        <v>7650803.9699999997</v>
      </c>
      <c r="F43" s="220">
        <v>6430006.9500000002</v>
      </c>
      <c r="G43" s="236">
        <f t="shared" si="0"/>
        <v>145.13508423206841</v>
      </c>
    </row>
    <row r="44" spans="1:7" s="224" customFormat="1" ht="17.25" customHeight="1" thickBot="1">
      <c r="A44" s="222"/>
      <c r="B44" s="223" t="s">
        <v>202</v>
      </c>
      <c r="C44" s="235">
        <v>202920.16</v>
      </c>
      <c r="D44" s="235">
        <v>218093.52</v>
      </c>
      <c r="E44" s="235">
        <v>1223124.45</v>
      </c>
      <c r="F44" s="235">
        <v>959886.32</v>
      </c>
      <c r="G44" s="236">
        <f t="shared" si="0"/>
        <v>440.12601566520635</v>
      </c>
    </row>
    <row r="45" spans="1:7" s="224" customFormat="1" ht="17.25" customHeight="1" thickBot="1">
      <c r="A45" s="222"/>
      <c r="B45" s="223" t="s">
        <v>203</v>
      </c>
      <c r="C45" s="235">
        <v>610267.17000000004</v>
      </c>
      <c r="D45" s="235">
        <v>4212266.6399999997</v>
      </c>
      <c r="E45" s="235">
        <v>6427679.5199999996</v>
      </c>
      <c r="F45" s="235">
        <v>5470120.6200000001</v>
      </c>
      <c r="G45" s="236">
        <f t="shared" si="0"/>
        <v>129.86168938251262</v>
      </c>
    </row>
    <row r="46" spans="1:7" s="217" customFormat="1" ht="36.75" customHeight="1" thickBot="1">
      <c r="A46" s="218"/>
      <c r="B46" s="219" t="s">
        <v>204</v>
      </c>
      <c r="C46" s="220">
        <v>216516.94</v>
      </c>
      <c r="D46" s="220">
        <v>216516.94</v>
      </c>
      <c r="E46" s="220">
        <v>383037.71</v>
      </c>
      <c r="F46" s="220">
        <v>98344.92</v>
      </c>
      <c r="G46" s="236">
        <f t="shared" si="0"/>
        <v>45.421351327060137</v>
      </c>
    </row>
    <row r="47" spans="1:7" s="224" customFormat="1" ht="17.25" customHeight="1" thickBot="1">
      <c r="A47" s="222"/>
      <c r="B47" s="223" t="s">
        <v>202</v>
      </c>
      <c r="C47" s="235">
        <v>42817.65</v>
      </c>
      <c r="D47" s="235">
        <v>42817.65</v>
      </c>
      <c r="E47" s="235">
        <v>68040.61</v>
      </c>
      <c r="F47" s="235">
        <v>17234.189999999999</v>
      </c>
      <c r="G47" s="236">
        <f t="shared" si="0"/>
        <v>40.250200559815866</v>
      </c>
    </row>
    <row r="48" spans="1:7" s="224" customFormat="1" ht="17.25" customHeight="1" thickBot="1">
      <c r="A48" s="222"/>
      <c r="B48" s="223" t="s">
        <v>205</v>
      </c>
      <c r="C48" s="235">
        <v>173699.29</v>
      </c>
      <c r="D48" s="235">
        <v>173699.29</v>
      </c>
      <c r="E48" s="235">
        <v>314997.09999999998</v>
      </c>
      <c r="F48" s="235">
        <v>81110.73</v>
      </c>
      <c r="G48" s="236">
        <f t="shared" si="0"/>
        <v>46.696063063930772</v>
      </c>
    </row>
    <row r="49" spans="1:7" s="217" customFormat="1" ht="24.75" customHeight="1" thickBot="1">
      <c r="A49" s="238"/>
      <c r="B49" s="239" t="s">
        <v>206</v>
      </c>
      <c r="C49" s="240">
        <v>1834275.74</v>
      </c>
      <c r="D49" s="240">
        <v>6333012.9199999999</v>
      </c>
      <c r="E49" s="240">
        <v>10098231.09</v>
      </c>
      <c r="F49" s="240">
        <v>8201280.5999999996</v>
      </c>
      <c r="G49" s="236">
        <f t="shared" si="0"/>
        <v>129.50045584306181</v>
      </c>
    </row>
    <row r="50" spans="1:7" ht="12" thickTop="1"/>
    <row r="52" spans="1:7">
      <c r="C52" s="243"/>
    </row>
  </sheetData>
  <mergeCells count="8">
    <mergeCell ref="F1:G1"/>
    <mergeCell ref="A3:B3"/>
    <mergeCell ref="C5:D5"/>
    <mergeCell ref="E5:E6"/>
    <mergeCell ref="F5:F6"/>
    <mergeCell ref="G5:G6"/>
    <mergeCell ref="B5:B7"/>
    <mergeCell ref="A5:A7"/>
  </mergeCells>
  <printOptions horizontalCentered="1"/>
  <pageMargins left="0.98425196850393704" right="0.98425196850393704" top="0.98425196850393704" bottom="0.78740157480314965" header="0.70866141732283472" footer="0.11811023622047245"/>
  <pageSetup paperSize="9" scale="63" orientation="portrait" r:id="rId1"/>
  <headerFooter alignWithMargins="0">
    <oddHeader>&amp;C&amp;"Arial,Tučné"&amp;14
Plnění závazných ukazatelů státního rozpočtu&amp;R&amp;"Arial,Tučné"&amp;12Tabulka č. 2</oddHeader>
    <oddFooter xml:space="preserve">&amp;C&amp;12
&amp;11&amp;P+10&amp;12
</oddFooter>
  </headerFooter>
  <rowBreaks count="1" manualBreakCount="1">
    <brk id="2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59999389629810485"/>
  </sheetPr>
  <dimension ref="A1:EA207"/>
  <sheetViews>
    <sheetView view="pageBreakPreview" topLeftCell="A7" zoomScale="70" zoomScaleNormal="65" zoomScaleSheetLayoutView="70" workbookViewId="0">
      <pane xSplit="1" ySplit="12" topLeftCell="AB131" activePane="bottomRight" state="frozen"/>
      <selection activeCell="M171" sqref="M171:M172"/>
      <selection pane="topRight" activeCell="M171" sqref="M171:M172"/>
      <selection pane="bottomLeft" activeCell="M171" sqref="M171:M172"/>
      <selection pane="bottomRight" activeCell="AN188" sqref="AN188"/>
    </sheetView>
  </sheetViews>
  <sheetFormatPr defaultRowHeight="12.75" outlineLevelRow="1"/>
  <cols>
    <col min="1" max="1" width="82.42578125" style="30" customWidth="1"/>
    <col min="2" max="2" width="21.42578125" style="30" hidden="1" customWidth="1"/>
    <col min="3" max="3" width="19.85546875" style="30" hidden="1" customWidth="1"/>
    <col min="4" max="4" width="20.7109375" style="30" hidden="1" customWidth="1"/>
    <col min="5" max="5" width="14" style="30" hidden="1" customWidth="1"/>
    <col min="6" max="6" width="10.5703125" style="30" hidden="1" customWidth="1"/>
    <col min="7" max="7" width="21.42578125" style="31" customWidth="1"/>
    <col min="8" max="8" width="19.85546875" style="31" customWidth="1"/>
    <col min="9" max="9" width="20.7109375" style="31" customWidth="1"/>
    <col min="10" max="10" width="15.42578125" style="31" customWidth="1"/>
    <col min="11" max="11" width="12.140625" style="31" customWidth="1"/>
    <col min="12" max="12" width="21.42578125" style="31" customWidth="1"/>
    <col min="13" max="13" width="17.7109375" style="31" customWidth="1"/>
    <col min="14" max="14" width="20.7109375" style="31" customWidth="1"/>
    <col min="15" max="15" width="15.85546875" style="31" customWidth="1"/>
    <col min="16" max="16" width="11.85546875" style="31" customWidth="1"/>
    <col min="17" max="17" width="19.85546875" style="31" customWidth="1"/>
    <col min="18" max="18" width="20.7109375" style="31" customWidth="1"/>
    <col min="19" max="19" width="16" style="31" customWidth="1"/>
    <col min="20" max="20" width="17.7109375" style="31" hidden="1" customWidth="1"/>
    <col min="21" max="21" width="20.7109375" style="31" hidden="1" customWidth="1"/>
    <col min="22" max="22" width="14" style="31" hidden="1" customWidth="1"/>
    <col min="23" max="23" width="24.7109375" style="31" customWidth="1"/>
    <col min="24" max="24" width="21" style="31" customWidth="1"/>
    <col min="25" max="25" width="25.7109375" style="31" customWidth="1"/>
    <col min="26" max="26" width="15.42578125" style="31" customWidth="1"/>
    <col min="27" max="27" width="12.140625" style="31" customWidth="1"/>
    <col min="28" max="28" width="25" style="31" customWidth="1"/>
    <col min="29" max="29" width="21.42578125" style="31" bestFit="1" customWidth="1"/>
    <col min="30" max="30" width="24.85546875" style="31" customWidth="1"/>
    <col min="31" max="31" width="14" style="31" customWidth="1"/>
    <col min="32" max="32" width="10.5703125" style="31" customWidth="1"/>
    <col min="33" max="33" width="20.5703125" style="31" customWidth="1"/>
    <col min="34" max="34" width="20.7109375" style="31" customWidth="1"/>
    <col min="35" max="35" width="14" style="31" customWidth="1"/>
    <col min="36" max="36" width="17.7109375" style="31" customWidth="1"/>
    <col min="37" max="37" width="20.7109375" style="31" customWidth="1"/>
    <col min="38" max="38" width="14" style="31" customWidth="1"/>
    <col min="39" max="39" width="17.7109375" style="31" customWidth="1"/>
    <col min="40" max="40" width="20.7109375" style="31" customWidth="1"/>
    <col min="41" max="41" width="14" style="31" customWidth="1"/>
    <col min="42" max="42" width="17.7109375" style="31" customWidth="1"/>
    <col min="43" max="43" width="20.7109375" style="31" customWidth="1"/>
    <col min="44" max="44" width="14" style="31" customWidth="1"/>
    <col min="45" max="45" width="18.5703125" style="31" customWidth="1"/>
    <col min="46" max="46" width="0" style="31" hidden="1" customWidth="1"/>
    <col min="47" max="47" width="16.85546875" style="31" hidden="1" customWidth="1"/>
    <col min="48" max="48" width="17.28515625" style="31" hidden="1" customWidth="1"/>
    <col min="49" max="49" width="17.5703125" style="31" hidden="1" customWidth="1"/>
    <col min="50" max="50" width="12.140625" style="31" hidden="1" customWidth="1"/>
    <col min="51" max="51" width="16" style="31" hidden="1" customWidth="1"/>
    <col min="52" max="52" width="15" style="31" hidden="1" customWidth="1"/>
    <col min="53" max="53" width="13.42578125" style="31" hidden="1" customWidth="1"/>
    <col min="54" max="54" width="12.140625" style="31" hidden="1" customWidth="1"/>
    <col min="55" max="55" width="18.42578125" style="31" hidden="1" customWidth="1"/>
    <col min="56" max="56" width="17.85546875" style="31" hidden="1" customWidth="1"/>
    <col min="57" max="57" width="20" style="31" hidden="1" customWidth="1"/>
    <col min="58" max="58" width="12.140625" style="31" hidden="1" customWidth="1"/>
    <col min="59" max="61" width="13.7109375" style="31" hidden="1" customWidth="1"/>
    <col min="62" max="62" width="17" style="31" hidden="1" customWidth="1"/>
    <col min="63" max="63" width="5.28515625" style="31" hidden="1" customWidth="1"/>
    <col min="64" max="64" width="18.85546875" style="31" hidden="1" customWidth="1"/>
    <col min="65" max="65" width="17.42578125" style="31" hidden="1" customWidth="1"/>
    <col min="66" max="66" width="18.140625" style="31" hidden="1" customWidth="1"/>
    <col min="67" max="67" width="12.140625" style="31" hidden="1" customWidth="1"/>
    <col min="68" max="68" width="16" style="31" hidden="1" customWidth="1"/>
    <col min="69" max="69" width="15" style="31" hidden="1" customWidth="1"/>
    <col min="70" max="70" width="13.42578125" style="31" hidden="1" customWidth="1"/>
    <col min="71" max="71" width="12.140625" style="31" hidden="1" customWidth="1"/>
    <col min="72" max="72" width="1.85546875" style="31" hidden="1" customWidth="1"/>
    <col min="73" max="73" width="20.5703125" style="31" hidden="1" customWidth="1"/>
    <col min="74" max="74" width="18.140625" style="31" hidden="1" customWidth="1"/>
    <col min="75" max="75" width="19.7109375" style="31" hidden="1" customWidth="1"/>
    <col min="76" max="76" width="12.140625" style="31" hidden="1" customWidth="1"/>
    <col min="77" max="77" width="16" style="31" hidden="1" customWidth="1"/>
    <col min="78" max="78" width="15" style="31" hidden="1" customWidth="1"/>
    <col min="79" max="79" width="13.42578125" style="31" hidden="1" customWidth="1"/>
    <col min="80" max="80" width="12.140625" style="31" hidden="1" customWidth="1"/>
    <col min="81" max="81" width="9.140625" style="31" hidden="1" customWidth="1"/>
    <col min="82" max="118" width="0" style="31" hidden="1" customWidth="1"/>
    <col min="119" max="16384" width="9.140625" style="31"/>
  </cols>
  <sheetData>
    <row r="1" spans="1:80" hidden="1"/>
    <row r="2" spans="1:80" ht="15" hidden="1" customHeight="1">
      <c r="A2" s="31"/>
      <c r="B2" s="31"/>
      <c r="C2" s="31"/>
      <c r="D2" s="31"/>
      <c r="E2" s="31"/>
      <c r="F2" s="31"/>
    </row>
    <row r="3" spans="1:80" ht="15" hidden="1" customHeight="1"/>
    <row r="4" spans="1:80" ht="15" hidden="1" customHeight="1"/>
    <row r="5" spans="1:80" ht="15" hidden="1" customHeight="1">
      <c r="A5" s="31"/>
      <c r="B5" s="31"/>
      <c r="C5" s="31"/>
      <c r="D5" s="31"/>
      <c r="E5" s="31"/>
      <c r="F5" s="31"/>
    </row>
    <row r="6" spans="1:80" ht="15" hidden="1" customHeight="1"/>
    <row r="7" spans="1:80" ht="15" customHeight="1"/>
    <row r="8" spans="1:80" ht="23.25">
      <c r="A8" s="1032" t="s">
        <v>157</v>
      </c>
      <c r="B8" s="840"/>
      <c r="C8" s="840"/>
      <c r="D8" s="841"/>
      <c r="E8" s="841"/>
      <c r="F8" s="840"/>
      <c r="AR8" s="842"/>
      <c r="AS8" s="843"/>
    </row>
    <row r="9" spans="1:80" ht="57.75" customHeight="1" thickBot="1">
      <c r="G9" s="1352"/>
      <c r="H9" s="1352"/>
      <c r="I9" s="1352"/>
      <c r="J9" s="1352"/>
      <c r="K9" s="1352"/>
      <c r="L9" s="1352"/>
      <c r="M9" s="1352"/>
      <c r="N9" s="1352"/>
      <c r="O9" s="1352"/>
      <c r="P9" s="1352"/>
      <c r="AH9" s="1033"/>
    </row>
    <row r="10" spans="1:80" s="1028" customFormat="1" ht="24.75" customHeight="1" thickBot="1">
      <c r="A10" s="1353"/>
      <c r="B10" s="1356" t="s">
        <v>661</v>
      </c>
      <c r="C10" s="1357"/>
      <c r="D10" s="1357"/>
      <c r="E10" s="1357"/>
      <c r="F10" s="1358"/>
      <c r="G10" s="1343" t="s">
        <v>662</v>
      </c>
      <c r="H10" s="1344"/>
      <c r="I10" s="1344"/>
      <c r="J10" s="1344"/>
      <c r="K10" s="1345"/>
      <c r="L10" s="1325" t="s">
        <v>663</v>
      </c>
      <c r="M10" s="1326"/>
      <c r="N10" s="1326"/>
      <c r="O10" s="1326"/>
      <c r="P10" s="1326"/>
      <c r="Q10" s="1325" t="s">
        <v>664</v>
      </c>
      <c r="R10" s="1326"/>
      <c r="S10" s="1327"/>
      <c r="T10" s="1325" t="s">
        <v>665</v>
      </c>
      <c r="U10" s="1326"/>
      <c r="V10" s="1327"/>
      <c r="W10" s="1334" t="s">
        <v>209</v>
      </c>
      <c r="X10" s="1335"/>
      <c r="Y10" s="1335"/>
      <c r="Z10" s="1335"/>
      <c r="AA10" s="1336"/>
      <c r="AB10" s="1343" t="s">
        <v>666</v>
      </c>
      <c r="AC10" s="1344"/>
      <c r="AD10" s="1344"/>
      <c r="AE10" s="1344"/>
      <c r="AF10" s="1345"/>
      <c r="AG10" s="1325" t="s">
        <v>667</v>
      </c>
      <c r="AH10" s="1326"/>
      <c r="AI10" s="1327"/>
      <c r="AJ10" s="1325" t="s">
        <v>668</v>
      </c>
      <c r="AK10" s="1326"/>
      <c r="AL10" s="1326"/>
      <c r="AM10" s="1325" t="s">
        <v>669</v>
      </c>
      <c r="AN10" s="1326"/>
      <c r="AO10" s="1327"/>
      <c r="AP10" s="1325" t="s">
        <v>670</v>
      </c>
      <c r="AQ10" s="1326"/>
      <c r="AR10" s="1326"/>
      <c r="AS10" s="1383" t="s">
        <v>671</v>
      </c>
      <c r="AU10" s="1377" t="s">
        <v>672</v>
      </c>
      <c r="AV10" s="1378"/>
      <c r="AW10" s="1378"/>
      <c r="AX10" s="1378"/>
      <c r="AY10" s="1378"/>
      <c r="AZ10" s="1378"/>
      <c r="BA10" s="1378"/>
      <c r="BB10" s="1379"/>
      <c r="BC10" s="1385" t="s">
        <v>673</v>
      </c>
      <c r="BD10" s="1386"/>
      <c r="BE10" s="1386"/>
      <c r="BF10" s="1387"/>
      <c r="BG10" s="1385" t="s">
        <v>674</v>
      </c>
      <c r="BH10" s="1391"/>
      <c r="BI10" s="1392"/>
      <c r="BJ10" s="1396" t="s">
        <v>675</v>
      </c>
      <c r="BK10" s="1029"/>
      <c r="BL10" s="1377" t="s">
        <v>676</v>
      </c>
      <c r="BM10" s="1378"/>
      <c r="BN10" s="1378"/>
      <c r="BO10" s="1378"/>
      <c r="BP10" s="1378"/>
      <c r="BQ10" s="1378"/>
      <c r="BR10" s="1378"/>
      <c r="BS10" s="1379"/>
      <c r="BT10" s="1029"/>
      <c r="BU10" s="1377" t="s">
        <v>677</v>
      </c>
      <c r="BV10" s="1378"/>
      <c r="BW10" s="1378"/>
      <c r="BX10" s="1378"/>
      <c r="BY10" s="1378"/>
      <c r="BZ10" s="1378"/>
      <c r="CA10" s="1378"/>
      <c r="CB10" s="1379"/>
    </row>
    <row r="11" spans="1:80" s="1028" customFormat="1" ht="36.75" customHeight="1" thickBot="1">
      <c r="A11" s="1354"/>
      <c r="B11" s="1359"/>
      <c r="C11" s="1360"/>
      <c r="D11" s="1360"/>
      <c r="E11" s="1360"/>
      <c r="F11" s="1361"/>
      <c r="G11" s="1346"/>
      <c r="H11" s="1347"/>
      <c r="I11" s="1347"/>
      <c r="J11" s="1347"/>
      <c r="K11" s="1348"/>
      <c r="L11" s="1328"/>
      <c r="M11" s="1329"/>
      <c r="N11" s="1329"/>
      <c r="O11" s="1329"/>
      <c r="P11" s="1329"/>
      <c r="Q11" s="1328"/>
      <c r="R11" s="1329"/>
      <c r="S11" s="1330"/>
      <c r="T11" s="1328"/>
      <c r="U11" s="1329"/>
      <c r="V11" s="1330"/>
      <c r="W11" s="1337"/>
      <c r="X11" s="1338"/>
      <c r="Y11" s="1338"/>
      <c r="Z11" s="1338"/>
      <c r="AA11" s="1339"/>
      <c r="AB11" s="1346"/>
      <c r="AC11" s="1347"/>
      <c r="AD11" s="1347"/>
      <c r="AE11" s="1347"/>
      <c r="AF11" s="1348"/>
      <c r="AG11" s="1328"/>
      <c r="AH11" s="1329"/>
      <c r="AI11" s="1330"/>
      <c r="AJ11" s="1328"/>
      <c r="AK11" s="1329"/>
      <c r="AL11" s="1329"/>
      <c r="AM11" s="1328"/>
      <c r="AN11" s="1329"/>
      <c r="AO11" s="1330"/>
      <c r="AP11" s="1328"/>
      <c r="AQ11" s="1329"/>
      <c r="AR11" s="1329"/>
      <c r="AS11" s="1384"/>
      <c r="AU11" s="1380" t="s">
        <v>678</v>
      </c>
      <c r="AV11" s="1381"/>
      <c r="AW11" s="1381"/>
      <c r="AX11" s="1382"/>
      <c r="AY11" s="1380" t="s">
        <v>679</v>
      </c>
      <c r="AZ11" s="1381"/>
      <c r="BA11" s="1381"/>
      <c r="BB11" s="1382"/>
      <c r="BC11" s="1388"/>
      <c r="BD11" s="1389"/>
      <c r="BE11" s="1389"/>
      <c r="BF11" s="1390"/>
      <c r="BG11" s="1393"/>
      <c r="BH11" s="1394"/>
      <c r="BI11" s="1395"/>
      <c r="BJ11" s="1397"/>
      <c r="BK11" s="1030"/>
      <c r="BL11" s="1380" t="s">
        <v>680</v>
      </c>
      <c r="BM11" s="1381"/>
      <c r="BN11" s="1381"/>
      <c r="BO11" s="1382"/>
      <c r="BP11" s="1381" t="s">
        <v>681</v>
      </c>
      <c r="BQ11" s="1381"/>
      <c r="BR11" s="1381"/>
      <c r="BS11" s="1382"/>
      <c r="BT11" s="1030"/>
      <c r="BU11" s="1380" t="s">
        <v>682</v>
      </c>
      <c r="BV11" s="1381"/>
      <c r="BW11" s="1381"/>
      <c r="BX11" s="1382"/>
      <c r="BY11" s="1381" t="s">
        <v>683</v>
      </c>
      <c r="BZ11" s="1381"/>
      <c r="CA11" s="1381"/>
      <c r="CB11" s="1382"/>
    </row>
    <row r="12" spans="1:80" s="1028" customFormat="1" ht="28.5" customHeight="1" thickBot="1">
      <c r="A12" s="1354"/>
      <c r="B12" s="1362"/>
      <c r="C12" s="1363"/>
      <c r="D12" s="1363"/>
      <c r="E12" s="1363"/>
      <c r="F12" s="1364"/>
      <c r="G12" s="1346"/>
      <c r="H12" s="1347"/>
      <c r="I12" s="1347"/>
      <c r="J12" s="1347"/>
      <c r="K12" s="1348"/>
      <c r="L12" s="1331"/>
      <c r="M12" s="1332"/>
      <c r="N12" s="1332"/>
      <c r="O12" s="1332"/>
      <c r="P12" s="1332"/>
      <c r="Q12" s="1331"/>
      <c r="R12" s="1332"/>
      <c r="S12" s="1333"/>
      <c r="T12" s="1331"/>
      <c r="U12" s="1332"/>
      <c r="V12" s="1333"/>
      <c r="W12" s="1340"/>
      <c r="X12" s="1341"/>
      <c r="Y12" s="1341"/>
      <c r="Z12" s="1341"/>
      <c r="AA12" s="1342"/>
      <c r="AB12" s="1349"/>
      <c r="AC12" s="1350"/>
      <c r="AD12" s="1350"/>
      <c r="AE12" s="1350"/>
      <c r="AF12" s="1351"/>
      <c r="AG12" s="1331"/>
      <c r="AH12" s="1332"/>
      <c r="AI12" s="1333"/>
      <c r="AJ12" s="1331"/>
      <c r="AK12" s="1332"/>
      <c r="AL12" s="1332"/>
      <c r="AM12" s="1331"/>
      <c r="AN12" s="1332"/>
      <c r="AO12" s="1333"/>
      <c r="AP12" s="1331"/>
      <c r="AQ12" s="1332"/>
      <c r="AR12" s="1332"/>
      <c r="AS12" s="1384"/>
      <c r="AU12" s="1398" t="s">
        <v>684</v>
      </c>
      <c r="AV12" s="1400" t="s">
        <v>522</v>
      </c>
      <c r="AW12" s="1401"/>
      <c r="AX12" s="1402" t="s">
        <v>685</v>
      </c>
      <c r="AY12" s="1398" t="s">
        <v>684</v>
      </c>
      <c r="AZ12" s="1400" t="s">
        <v>522</v>
      </c>
      <c r="BA12" s="1401"/>
      <c r="BB12" s="1402" t="s">
        <v>685</v>
      </c>
      <c r="BC12" s="1398" t="s">
        <v>684</v>
      </c>
      <c r="BD12" s="1400" t="s">
        <v>522</v>
      </c>
      <c r="BE12" s="1401"/>
      <c r="BF12" s="1402" t="s">
        <v>685</v>
      </c>
      <c r="BG12" s="1404" t="s">
        <v>686</v>
      </c>
      <c r="BH12" s="1405"/>
      <c r="BI12" s="1406"/>
      <c r="BJ12" s="1412" t="s">
        <v>687</v>
      </c>
      <c r="BK12" s="1031"/>
      <c r="BL12" s="1398" t="s">
        <v>684</v>
      </c>
      <c r="BM12" s="1400" t="s">
        <v>522</v>
      </c>
      <c r="BN12" s="1401"/>
      <c r="BO12" s="1402" t="s">
        <v>685</v>
      </c>
      <c r="BP12" s="1398" t="s">
        <v>684</v>
      </c>
      <c r="BQ12" s="1400" t="s">
        <v>522</v>
      </c>
      <c r="BR12" s="1401"/>
      <c r="BS12" s="1402" t="s">
        <v>685</v>
      </c>
      <c r="BT12" s="1031"/>
      <c r="BU12" s="1398" t="s">
        <v>684</v>
      </c>
      <c r="BV12" s="1400" t="s">
        <v>522</v>
      </c>
      <c r="BW12" s="1401"/>
      <c r="BX12" s="1402" t="s">
        <v>685</v>
      </c>
      <c r="BY12" s="1398" t="s">
        <v>684</v>
      </c>
      <c r="BZ12" s="1400" t="s">
        <v>522</v>
      </c>
      <c r="CA12" s="1401"/>
      <c r="CB12" s="1402" t="s">
        <v>685</v>
      </c>
    </row>
    <row r="13" spans="1:80" ht="24" customHeight="1">
      <c r="A13" s="1354"/>
      <c r="B13" s="1398" t="s">
        <v>684</v>
      </c>
      <c r="C13" s="1418" t="s">
        <v>522</v>
      </c>
      <c r="D13" s="1419"/>
      <c r="E13" s="1420" t="s">
        <v>685</v>
      </c>
      <c r="F13" s="1402" t="s">
        <v>688</v>
      </c>
      <c r="G13" s="1372" t="s">
        <v>684</v>
      </c>
      <c r="H13" s="1365" t="s">
        <v>522</v>
      </c>
      <c r="I13" s="1366"/>
      <c r="J13" s="1367" t="s">
        <v>685</v>
      </c>
      <c r="K13" s="1370" t="s">
        <v>688</v>
      </c>
      <c r="L13" s="1372" t="s">
        <v>684</v>
      </c>
      <c r="M13" s="1365" t="s">
        <v>522</v>
      </c>
      <c r="N13" s="1366"/>
      <c r="O13" s="1367" t="s">
        <v>689</v>
      </c>
      <c r="P13" s="1370" t="s">
        <v>688</v>
      </c>
      <c r="Q13" s="1372" t="s">
        <v>690</v>
      </c>
      <c r="R13" s="1375" t="s">
        <v>691</v>
      </c>
      <c r="S13" s="1367" t="s">
        <v>689</v>
      </c>
      <c r="T13" s="1372" t="s">
        <v>690</v>
      </c>
      <c r="U13" s="1375" t="s">
        <v>691</v>
      </c>
      <c r="V13" s="1367" t="s">
        <v>689</v>
      </c>
      <c r="W13" s="1372" t="s">
        <v>684</v>
      </c>
      <c r="X13" s="1365" t="s">
        <v>522</v>
      </c>
      <c r="Y13" s="1366"/>
      <c r="Z13" s="1367" t="s">
        <v>692</v>
      </c>
      <c r="AA13" s="1370" t="s">
        <v>688</v>
      </c>
      <c r="AB13" s="1372" t="s">
        <v>684</v>
      </c>
      <c r="AC13" s="1365" t="s">
        <v>522</v>
      </c>
      <c r="AD13" s="1366"/>
      <c r="AE13" s="1367" t="s">
        <v>693</v>
      </c>
      <c r="AF13" s="1370" t="s">
        <v>688</v>
      </c>
      <c r="AG13" s="1372" t="s">
        <v>690</v>
      </c>
      <c r="AH13" s="1375" t="s">
        <v>691</v>
      </c>
      <c r="AI13" s="1367" t="s">
        <v>693</v>
      </c>
      <c r="AJ13" s="1372" t="s">
        <v>690</v>
      </c>
      <c r="AK13" s="1375" t="s">
        <v>691</v>
      </c>
      <c r="AL13" s="1414" t="s">
        <v>693</v>
      </c>
      <c r="AM13" s="1372" t="s">
        <v>690</v>
      </c>
      <c r="AN13" s="1375" t="s">
        <v>691</v>
      </c>
      <c r="AO13" s="1367" t="s">
        <v>693</v>
      </c>
      <c r="AP13" s="1372" t="s">
        <v>690</v>
      </c>
      <c r="AQ13" s="1375" t="s">
        <v>691</v>
      </c>
      <c r="AR13" s="1414" t="s">
        <v>693</v>
      </c>
      <c r="AS13" s="1384"/>
      <c r="AU13" s="1399"/>
      <c r="AV13" s="1411" t="s">
        <v>690</v>
      </c>
      <c r="AW13" s="1411" t="s">
        <v>691</v>
      </c>
      <c r="AX13" s="1403"/>
      <c r="AY13" s="1399"/>
      <c r="AZ13" s="1411" t="s">
        <v>690</v>
      </c>
      <c r="BA13" s="1411" t="s">
        <v>691</v>
      </c>
      <c r="BB13" s="1403"/>
      <c r="BC13" s="1399"/>
      <c r="BD13" s="1411" t="s">
        <v>690</v>
      </c>
      <c r="BE13" s="1411" t="s">
        <v>691</v>
      </c>
      <c r="BF13" s="1403"/>
      <c r="BG13" s="1416" t="s">
        <v>694</v>
      </c>
      <c r="BH13" s="1407" t="s">
        <v>695</v>
      </c>
      <c r="BI13" s="1409" t="s">
        <v>696</v>
      </c>
      <c r="BJ13" s="1413"/>
      <c r="BK13" s="844"/>
      <c r="BL13" s="1399"/>
      <c r="BM13" s="1411" t="s">
        <v>690</v>
      </c>
      <c r="BN13" s="1411" t="s">
        <v>691</v>
      </c>
      <c r="BO13" s="1403"/>
      <c r="BP13" s="1399"/>
      <c r="BQ13" s="1411" t="s">
        <v>690</v>
      </c>
      <c r="BR13" s="1411" t="s">
        <v>691</v>
      </c>
      <c r="BS13" s="1403"/>
      <c r="BT13" s="844"/>
      <c r="BU13" s="1399"/>
      <c r="BV13" s="1411" t="s">
        <v>690</v>
      </c>
      <c r="BW13" s="1411" t="s">
        <v>691</v>
      </c>
      <c r="BX13" s="1403"/>
      <c r="BY13" s="1399"/>
      <c r="BZ13" s="1411" t="s">
        <v>690</v>
      </c>
      <c r="CA13" s="1411" t="s">
        <v>691</v>
      </c>
      <c r="CB13" s="1403"/>
    </row>
    <row r="14" spans="1:80" ht="24" customHeight="1">
      <c r="A14" s="1354"/>
      <c r="B14" s="1399"/>
      <c r="C14" s="1376" t="s">
        <v>690</v>
      </c>
      <c r="D14" s="1376" t="s">
        <v>691</v>
      </c>
      <c r="E14" s="1421"/>
      <c r="F14" s="1403"/>
      <c r="G14" s="1373"/>
      <c r="H14" s="1374" t="s">
        <v>690</v>
      </c>
      <c r="I14" s="1374" t="s">
        <v>691</v>
      </c>
      <c r="J14" s="1368"/>
      <c r="K14" s="1371"/>
      <c r="L14" s="1373"/>
      <c r="M14" s="1374" t="s">
        <v>690</v>
      </c>
      <c r="N14" s="1374" t="s">
        <v>691</v>
      </c>
      <c r="O14" s="1368"/>
      <c r="P14" s="1371"/>
      <c r="Q14" s="1373"/>
      <c r="R14" s="1374"/>
      <c r="S14" s="1368"/>
      <c r="T14" s="1373"/>
      <c r="U14" s="1374"/>
      <c r="V14" s="1368"/>
      <c r="W14" s="1373"/>
      <c r="X14" s="1374" t="s">
        <v>690</v>
      </c>
      <c r="Y14" s="1374" t="s">
        <v>691</v>
      </c>
      <c r="Z14" s="1368"/>
      <c r="AA14" s="1371"/>
      <c r="AB14" s="1373"/>
      <c r="AC14" s="1374" t="s">
        <v>690</v>
      </c>
      <c r="AD14" s="1374" t="s">
        <v>691</v>
      </c>
      <c r="AE14" s="1368"/>
      <c r="AF14" s="1371"/>
      <c r="AG14" s="1373"/>
      <c r="AH14" s="1374"/>
      <c r="AI14" s="1368"/>
      <c r="AJ14" s="1373"/>
      <c r="AK14" s="1374"/>
      <c r="AL14" s="1415"/>
      <c r="AM14" s="1373"/>
      <c r="AN14" s="1374"/>
      <c r="AO14" s="1368"/>
      <c r="AP14" s="1373"/>
      <c r="AQ14" s="1374"/>
      <c r="AR14" s="1415"/>
      <c r="AS14" s="1384"/>
      <c r="AU14" s="1399"/>
      <c r="AV14" s="1376"/>
      <c r="AW14" s="1376"/>
      <c r="AX14" s="1403"/>
      <c r="AY14" s="1399"/>
      <c r="AZ14" s="1376"/>
      <c r="BA14" s="1376"/>
      <c r="BB14" s="1403"/>
      <c r="BC14" s="1399"/>
      <c r="BD14" s="1376"/>
      <c r="BE14" s="1376"/>
      <c r="BF14" s="1403"/>
      <c r="BG14" s="1417"/>
      <c r="BH14" s="1408"/>
      <c r="BI14" s="1410"/>
      <c r="BJ14" s="1413"/>
      <c r="BK14" s="844"/>
      <c r="BL14" s="1399"/>
      <c r="BM14" s="1376"/>
      <c r="BN14" s="1376"/>
      <c r="BO14" s="1403"/>
      <c r="BP14" s="1399"/>
      <c r="BQ14" s="1376"/>
      <c r="BR14" s="1376"/>
      <c r="BS14" s="1403"/>
      <c r="BT14" s="844"/>
      <c r="BU14" s="1399"/>
      <c r="BV14" s="1376"/>
      <c r="BW14" s="1376"/>
      <c r="BX14" s="1403"/>
      <c r="BY14" s="1399"/>
      <c r="BZ14" s="1376"/>
      <c r="CA14" s="1376"/>
      <c r="CB14" s="1403"/>
    </row>
    <row r="15" spans="1:80" ht="24" customHeight="1">
      <c r="A15" s="1354"/>
      <c r="B15" s="1399"/>
      <c r="C15" s="1376"/>
      <c r="D15" s="1376"/>
      <c r="E15" s="1421"/>
      <c r="F15" s="1403"/>
      <c r="G15" s="1373"/>
      <c r="H15" s="1374"/>
      <c r="I15" s="1374"/>
      <c r="J15" s="1368"/>
      <c r="K15" s="1371"/>
      <c r="L15" s="1373"/>
      <c r="M15" s="1374"/>
      <c r="N15" s="1374"/>
      <c r="O15" s="1368"/>
      <c r="P15" s="1371"/>
      <c r="Q15" s="1373"/>
      <c r="R15" s="1374"/>
      <c r="S15" s="1368"/>
      <c r="T15" s="1373"/>
      <c r="U15" s="1374"/>
      <c r="V15" s="1368"/>
      <c r="W15" s="1373"/>
      <c r="X15" s="1374"/>
      <c r="Y15" s="1374"/>
      <c r="Z15" s="1368"/>
      <c r="AA15" s="1371"/>
      <c r="AB15" s="1373"/>
      <c r="AC15" s="1374"/>
      <c r="AD15" s="1374"/>
      <c r="AE15" s="1368"/>
      <c r="AF15" s="1371"/>
      <c r="AG15" s="1373"/>
      <c r="AH15" s="1374"/>
      <c r="AI15" s="1368"/>
      <c r="AJ15" s="1373"/>
      <c r="AK15" s="1374"/>
      <c r="AL15" s="1415"/>
      <c r="AM15" s="1373"/>
      <c r="AN15" s="1374"/>
      <c r="AO15" s="1368"/>
      <c r="AP15" s="1373"/>
      <c r="AQ15" s="1374"/>
      <c r="AR15" s="1415"/>
      <c r="AS15" s="1384"/>
      <c r="AU15" s="1399"/>
      <c r="AV15" s="1376"/>
      <c r="AW15" s="1376"/>
      <c r="AX15" s="1403"/>
      <c r="AY15" s="1399"/>
      <c r="AZ15" s="1376"/>
      <c r="BA15" s="1376"/>
      <c r="BB15" s="1403"/>
      <c r="BC15" s="1399"/>
      <c r="BD15" s="1376"/>
      <c r="BE15" s="1376"/>
      <c r="BF15" s="1403"/>
      <c r="BG15" s="1417"/>
      <c r="BH15" s="1408"/>
      <c r="BI15" s="1410"/>
      <c r="BJ15" s="1413"/>
      <c r="BK15" s="844"/>
      <c r="BL15" s="1399"/>
      <c r="BM15" s="1376"/>
      <c r="BN15" s="1376"/>
      <c r="BO15" s="1403"/>
      <c r="BP15" s="1399"/>
      <c r="BQ15" s="1376"/>
      <c r="BR15" s="1376"/>
      <c r="BS15" s="1403"/>
      <c r="BT15" s="844"/>
      <c r="BU15" s="1399"/>
      <c r="BV15" s="1376"/>
      <c r="BW15" s="1376"/>
      <c r="BX15" s="1403"/>
      <c r="BY15" s="1399"/>
      <c r="BZ15" s="1376"/>
      <c r="CA15" s="1376"/>
      <c r="CB15" s="1403"/>
    </row>
    <row r="16" spans="1:80" ht="24" customHeight="1">
      <c r="A16" s="1354"/>
      <c r="B16" s="1399"/>
      <c r="C16" s="1376"/>
      <c r="D16" s="1376"/>
      <c r="E16" s="1421"/>
      <c r="F16" s="1403"/>
      <c r="G16" s="1373"/>
      <c r="H16" s="1374"/>
      <c r="I16" s="1374"/>
      <c r="J16" s="1368"/>
      <c r="K16" s="1371"/>
      <c r="L16" s="1373"/>
      <c r="M16" s="1374"/>
      <c r="N16" s="1374"/>
      <c r="O16" s="1368"/>
      <c r="P16" s="1371"/>
      <c r="Q16" s="1373"/>
      <c r="R16" s="1374"/>
      <c r="S16" s="1368"/>
      <c r="T16" s="1373"/>
      <c r="U16" s="1374"/>
      <c r="V16" s="1368"/>
      <c r="W16" s="1373"/>
      <c r="X16" s="1374"/>
      <c r="Y16" s="1374"/>
      <c r="Z16" s="1368"/>
      <c r="AA16" s="1371"/>
      <c r="AB16" s="1373"/>
      <c r="AC16" s="1374"/>
      <c r="AD16" s="1374"/>
      <c r="AE16" s="1368"/>
      <c r="AF16" s="1371"/>
      <c r="AG16" s="1373"/>
      <c r="AH16" s="1374"/>
      <c r="AI16" s="1368"/>
      <c r="AJ16" s="1373"/>
      <c r="AK16" s="1374"/>
      <c r="AL16" s="1415"/>
      <c r="AM16" s="1373"/>
      <c r="AN16" s="1374"/>
      <c r="AO16" s="1368"/>
      <c r="AP16" s="1373"/>
      <c r="AQ16" s="1374"/>
      <c r="AR16" s="1415"/>
      <c r="AS16" s="1384"/>
      <c r="AU16" s="1399"/>
      <c r="AV16" s="1376"/>
      <c r="AW16" s="1376"/>
      <c r="AX16" s="1403"/>
      <c r="AY16" s="1399"/>
      <c r="AZ16" s="1376"/>
      <c r="BA16" s="1376"/>
      <c r="BB16" s="1403"/>
      <c r="BC16" s="1399"/>
      <c r="BD16" s="1376"/>
      <c r="BE16" s="1376"/>
      <c r="BF16" s="1403"/>
      <c r="BG16" s="1417"/>
      <c r="BH16" s="1408"/>
      <c r="BI16" s="1410"/>
      <c r="BJ16" s="1413"/>
      <c r="BK16" s="844"/>
      <c r="BL16" s="1399"/>
      <c r="BM16" s="1376"/>
      <c r="BN16" s="1376"/>
      <c r="BO16" s="1403"/>
      <c r="BP16" s="1399"/>
      <c r="BQ16" s="1376"/>
      <c r="BR16" s="1376"/>
      <c r="BS16" s="1403"/>
      <c r="BT16" s="844"/>
      <c r="BU16" s="1399"/>
      <c r="BV16" s="1376"/>
      <c r="BW16" s="1376"/>
      <c r="BX16" s="1403"/>
      <c r="BY16" s="1399"/>
      <c r="BZ16" s="1376"/>
      <c r="CA16" s="1376"/>
      <c r="CB16" s="1403"/>
    </row>
    <row r="17" spans="1:131" s="850" customFormat="1" ht="21.75" customHeight="1" thickBot="1">
      <c r="A17" s="1355"/>
      <c r="B17" s="845" t="s">
        <v>697</v>
      </c>
      <c r="C17" s="846" t="s">
        <v>697</v>
      </c>
      <c r="D17" s="847" t="s">
        <v>697</v>
      </c>
      <c r="E17" s="1422"/>
      <c r="F17" s="848" t="s">
        <v>697</v>
      </c>
      <c r="G17" s="1039" t="s">
        <v>697</v>
      </c>
      <c r="H17" s="1036" t="s">
        <v>697</v>
      </c>
      <c r="I17" s="1037" t="s">
        <v>697</v>
      </c>
      <c r="J17" s="1369"/>
      <c r="K17" s="1038" t="s">
        <v>697</v>
      </c>
      <c r="L17" s="1039" t="s">
        <v>697</v>
      </c>
      <c r="M17" s="1036" t="s">
        <v>697</v>
      </c>
      <c r="N17" s="1037" t="s">
        <v>697</v>
      </c>
      <c r="O17" s="1369"/>
      <c r="P17" s="1038" t="s">
        <v>697</v>
      </c>
      <c r="Q17" s="1039" t="s">
        <v>697</v>
      </c>
      <c r="R17" s="1036" t="s">
        <v>697</v>
      </c>
      <c r="S17" s="1369"/>
      <c r="T17" s="1039" t="s">
        <v>697</v>
      </c>
      <c r="U17" s="1036" t="s">
        <v>697</v>
      </c>
      <c r="V17" s="1369"/>
      <c r="W17" s="1039" t="s">
        <v>697</v>
      </c>
      <c r="X17" s="1036" t="s">
        <v>697</v>
      </c>
      <c r="Y17" s="1037" t="s">
        <v>697</v>
      </c>
      <c r="Z17" s="1369"/>
      <c r="AA17" s="1038" t="s">
        <v>697</v>
      </c>
      <c r="AB17" s="1040" t="s">
        <v>697</v>
      </c>
      <c r="AC17" s="1041" t="s">
        <v>697</v>
      </c>
      <c r="AD17" s="1042" t="s">
        <v>697</v>
      </c>
      <c r="AE17" s="1368"/>
      <c r="AF17" s="1043" t="s">
        <v>697</v>
      </c>
      <c r="AG17" s="1040" t="s">
        <v>697</v>
      </c>
      <c r="AH17" s="1041" t="s">
        <v>697</v>
      </c>
      <c r="AI17" s="1368"/>
      <c r="AJ17" s="1040" t="s">
        <v>697</v>
      </c>
      <c r="AK17" s="1041" t="s">
        <v>697</v>
      </c>
      <c r="AL17" s="1415"/>
      <c r="AM17" s="1040" t="s">
        <v>697</v>
      </c>
      <c r="AN17" s="1041" t="s">
        <v>697</v>
      </c>
      <c r="AO17" s="1368"/>
      <c r="AP17" s="1040" t="s">
        <v>697</v>
      </c>
      <c r="AQ17" s="1041" t="s">
        <v>697</v>
      </c>
      <c r="AR17" s="1415"/>
      <c r="AS17" s="849" t="s">
        <v>697</v>
      </c>
      <c r="AU17" s="845" t="s">
        <v>697</v>
      </c>
      <c r="AV17" s="851" t="s">
        <v>697</v>
      </c>
      <c r="AW17" s="851" t="s">
        <v>697</v>
      </c>
      <c r="AX17" s="1403"/>
      <c r="AY17" s="845" t="s">
        <v>697</v>
      </c>
      <c r="AZ17" s="851" t="s">
        <v>697</v>
      </c>
      <c r="BA17" s="851" t="s">
        <v>697</v>
      </c>
      <c r="BB17" s="1403"/>
      <c r="BC17" s="845" t="s">
        <v>697</v>
      </c>
      <c r="BD17" s="851" t="s">
        <v>697</v>
      </c>
      <c r="BE17" s="851" t="s">
        <v>697</v>
      </c>
      <c r="BF17" s="1403"/>
      <c r="BG17" s="845" t="s">
        <v>697</v>
      </c>
      <c r="BH17" s="851" t="s">
        <v>697</v>
      </c>
      <c r="BI17" s="852" t="s">
        <v>697</v>
      </c>
      <c r="BJ17" s="1413"/>
      <c r="BK17" s="853"/>
      <c r="BL17" s="845" t="s">
        <v>697</v>
      </c>
      <c r="BM17" s="851" t="s">
        <v>697</v>
      </c>
      <c r="BN17" s="851" t="s">
        <v>697</v>
      </c>
      <c r="BO17" s="1403"/>
      <c r="BP17" s="845" t="s">
        <v>697</v>
      </c>
      <c r="BQ17" s="851" t="s">
        <v>697</v>
      </c>
      <c r="BR17" s="851" t="s">
        <v>697</v>
      </c>
      <c r="BS17" s="1403"/>
      <c r="BT17" s="854"/>
      <c r="BU17" s="845" t="s">
        <v>697</v>
      </c>
      <c r="BV17" s="851" t="s">
        <v>697</v>
      </c>
      <c r="BW17" s="851" t="s">
        <v>697</v>
      </c>
      <c r="BX17" s="1403"/>
      <c r="BY17" s="845" t="s">
        <v>697</v>
      </c>
      <c r="BZ17" s="851" t="s">
        <v>697</v>
      </c>
      <c r="CA17" s="851" t="s">
        <v>697</v>
      </c>
      <c r="CB17" s="1403"/>
    </row>
    <row r="18" spans="1:131" s="861" customFormat="1" ht="30.75" customHeight="1" thickBot="1">
      <c r="A18" s="855" t="s">
        <v>698</v>
      </c>
      <c r="B18" s="1426"/>
      <c r="C18" s="1427"/>
      <c r="D18" s="1427"/>
      <c r="E18" s="1427"/>
      <c r="F18" s="1428"/>
      <c r="G18" s="856">
        <v>1</v>
      </c>
      <c r="H18" s="857">
        <v>2</v>
      </c>
      <c r="I18" s="857">
        <v>3</v>
      </c>
      <c r="J18" s="857">
        <v>4</v>
      </c>
      <c r="K18" s="858">
        <v>5</v>
      </c>
      <c r="L18" s="856">
        <v>6</v>
      </c>
      <c r="M18" s="857">
        <v>7</v>
      </c>
      <c r="N18" s="857">
        <v>8</v>
      </c>
      <c r="O18" s="857">
        <v>9</v>
      </c>
      <c r="P18" s="859">
        <v>10</v>
      </c>
      <c r="Q18" s="856">
        <v>11</v>
      </c>
      <c r="R18" s="857">
        <v>12</v>
      </c>
      <c r="S18" s="858">
        <v>13</v>
      </c>
      <c r="T18" s="856">
        <v>14</v>
      </c>
      <c r="U18" s="857">
        <v>15</v>
      </c>
      <c r="V18" s="858">
        <v>16</v>
      </c>
      <c r="W18" s="1426"/>
      <c r="X18" s="1427"/>
      <c r="Y18" s="1427"/>
      <c r="Z18" s="1427"/>
      <c r="AA18" s="1428"/>
      <c r="AB18" s="856">
        <v>17</v>
      </c>
      <c r="AC18" s="857">
        <v>18</v>
      </c>
      <c r="AD18" s="857">
        <v>19</v>
      </c>
      <c r="AE18" s="857">
        <v>20</v>
      </c>
      <c r="AF18" s="858">
        <v>21</v>
      </c>
      <c r="AG18" s="856">
        <v>22</v>
      </c>
      <c r="AH18" s="857">
        <v>23</v>
      </c>
      <c r="AI18" s="858">
        <v>24</v>
      </c>
      <c r="AJ18" s="856">
        <v>25</v>
      </c>
      <c r="AK18" s="857">
        <v>26</v>
      </c>
      <c r="AL18" s="858">
        <v>27</v>
      </c>
      <c r="AM18" s="856">
        <v>28</v>
      </c>
      <c r="AN18" s="857">
        <v>29</v>
      </c>
      <c r="AO18" s="858">
        <v>30</v>
      </c>
      <c r="AP18" s="856">
        <v>31</v>
      </c>
      <c r="AQ18" s="857">
        <v>32</v>
      </c>
      <c r="AR18" s="858">
        <v>33</v>
      </c>
      <c r="AS18" s="860">
        <v>34</v>
      </c>
      <c r="AU18" s="1423"/>
      <c r="AV18" s="1424"/>
      <c r="AW18" s="1424"/>
      <c r="AX18" s="1425"/>
      <c r="AY18" s="1423"/>
      <c r="AZ18" s="1424"/>
      <c r="BA18" s="1424"/>
      <c r="BB18" s="1425"/>
      <c r="BC18" s="1423"/>
      <c r="BD18" s="1424"/>
      <c r="BE18" s="1424"/>
      <c r="BF18" s="1425"/>
      <c r="BG18" s="1423"/>
      <c r="BH18" s="1424"/>
      <c r="BI18" s="1425"/>
      <c r="BJ18" s="862"/>
      <c r="BL18" s="1423"/>
      <c r="BM18" s="1424"/>
      <c r="BN18" s="1424"/>
      <c r="BO18" s="1425"/>
      <c r="BP18" s="1423"/>
      <c r="BQ18" s="1424"/>
      <c r="BR18" s="1424"/>
      <c r="BS18" s="1425"/>
      <c r="BU18" s="1423"/>
      <c r="BV18" s="1424"/>
      <c r="BW18" s="1424"/>
      <c r="BX18" s="1425"/>
      <c r="BY18" s="1423"/>
      <c r="BZ18" s="1424"/>
      <c r="CA18" s="1424"/>
      <c r="CB18" s="1425"/>
    </row>
    <row r="19" spans="1:131" s="882" customFormat="1" ht="27.75" customHeight="1">
      <c r="A19" s="863" t="s">
        <v>699</v>
      </c>
      <c r="B19" s="864">
        <f>IF(B28+B144=C19+D19,C19+D19,"CHYBA")</f>
        <v>23609533430</v>
      </c>
      <c r="C19" s="865">
        <f>C28+C144</f>
        <v>288887149</v>
      </c>
      <c r="D19" s="865">
        <f>D28+D144</f>
        <v>23320646281</v>
      </c>
      <c r="E19" s="865">
        <f>E28+E144</f>
        <v>63443</v>
      </c>
      <c r="F19" s="866">
        <f t="shared" ref="F19:F25" si="0">IF(E19=0,0,ROUND(D19/E19/12,0))</f>
        <v>30632</v>
      </c>
      <c r="G19" s="864">
        <f>IF(G28+G144=H19+I19,H19+I19,"CHYBA")</f>
        <v>24439835544</v>
      </c>
      <c r="H19" s="865">
        <f>H28+H144</f>
        <v>282229416</v>
      </c>
      <c r="I19" s="865">
        <f>I28+I144</f>
        <v>24157606128</v>
      </c>
      <c r="J19" s="865">
        <f>J28+J144</f>
        <v>65152</v>
      </c>
      <c r="K19" s="866">
        <f t="shared" ref="K19:K25" si="1">IF(J19=0,0,ROUND(I19/J19/12,0))</f>
        <v>30899</v>
      </c>
      <c r="L19" s="867">
        <f>IF(L28+L144=M19+N19,M19+N19,"CHYBA")</f>
        <v>24977263016</v>
      </c>
      <c r="M19" s="868">
        <f>M28+M144</f>
        <v>304438515</v>
      </c>
      <c r="N19" s="868">
        <f>N28+N144</f>
        <v>24672824501</v>
      </c>
      <c r="O19" s="868">
        <f>O28+O144</f>
        <v>65891</v>
      </c>
      <c r="P19" s="869">
        <f t="shared" ref="P19:P25" si="2">IF(O19=0,0,ROUND(N19/O19/12,0))</f>
        <v>31204</v>
      </c>
      <c r="Q19" s="864">
        <f t="shared" ref="Q19:V25" si="3">Q28+Q144</f>
        <v>33407195.970000003</v>
      </c>
      <c r="R19" s="865">
        <f t="shared" si="3"/>
        <v>322785354.94999999</v>
      </c>
      <c r="S19" s="870">
        <f t="shared" si="3"/>
        <v>89</v>
      </c>
      <c r="T19" s="867">
        <f t="shared" si="3"/>
        <v>0</v>
      </c>
      <c r="U19" s="868">
        <f t="shared" si="3"/>
        <v>0</v>
      </c>
      <c r="V19" s="871">
        <f t="shared" si="3"/>
        <v>0</v>
      </c>
      <c r="W19" s="867">
        <f>IF(W28+W144=X19+Y19,X19+Y19,"CHYBA")</f>
        <v>25333455566.920002</v>
      </c>
      <c r="X19" s="868">
        <f>X28+X144</f>
        <v>337845710.97000003</v>
      </c>
      <c r="Y19" s="868">
        <f>Y28+Y144</f>
        <v>24995609855.950001</v>
      </c>
      <c r="Z19" s="868">
        <f>Z28+Z144</f>
        <v>65980</v>
      </c>
      <c r="AA19" s="872">
        <f t="shared" ref="AA19:AA25" si="4">IF(Z19=0,0,ROUND(Y19/Z19/12,0))</f>
        <v>31570</v>
      </c>
      <c r="AB19" s="864">
        <f>IF(AB28+AB144=AC19+AD19,AC19+AD19,"CHYBA")</f>
        <v>25162451660.449997</v>
      </c>
      <c r="AC19" s="865">
        <f>AC28+AC144</f>
        <v>311871221.44</v>
      </c>
      <c r="AD19" s="865">
        <f>AD28+AD144</f>
        <v>24850580439.009998</v>
      </c>
      <c r="AE19" s="865">
        <f>AE28+AE144</f>
        <v>64344</v>
      </c>
      <c r="AF19" s="866">
        <f t="shared" ref="AF19:AF25" si="5">IF(AE19=0,0,ROUND(AD19/AE19/12,0))</f>
        <v>32185</v>
      </c>
      <c r="AG19" s="864">
        <f t="shared" ref="AG19:AR25" si="6">AG28+AG144</f>
        <v>25239588.449999999</v>
      </c>
      <c r="AH19" s="865">
        <f t="shared" si="6"/>
        <v>267950514.92000002</v>
      </c>
      <c r="AI19" s="870">
        <f t="shared" si="6"/>
        <v>82</v>
      </c>
      <c r="AJ19" s="864">
        <f t="shared" si="6"/>
        <v>7685146</v>
      </c>
      <c r="AK19" s="865">
        <f t="shared" si="6"/>
        <v>2671500</v>
      </c>
      <c r="AL19" s="870">
        <f t="shared" si="6"/>
        <v>0</v>
      </c>
      <c r="AM19" s="864">
        <f t="shared" si="6"/>
        <v>2188357</v>
      </c>
      <c r="AN19" s="865">
        <f t="shared" si="6"/>
        <v>15194380.100000001</v>
      </c>
      <c r="AO19" s="870">
        <f t="shared" si="6"/>
        <v>0</v>
      </c>
      <c r="AP19" s="864">
        <f t="shared" si="6"/>
        <v>0</v>
      </c>
      <c r="AQ19" s="865">
        <f t="shared" si="6"/>
        <v>0</v>
      </c>
      <c r="AR19" s="870">
        <f t="shared" si="6"/>
        <v>0</v>
      </c>
      <c r="AS19" s="873"/>
      <c r="AT19" s="874"/>
      <c r="AU19" s="864">
        <f>IF(AU28+AU144=AV19+AW19,AV19+AW19,"CHYBA")</f>
        <v>185362702.44999945</v>
      </c>
      <c r="AV19" s="865">
        <f>AV28+AV144</f>
        <v>7432706.4399999976</v>
      </c>
      <c r="AW19" s="865">
        <f>AW28+AW144</f>
        <v>177929996.00999945</v>
      </c>
      <c r="AX19" s="865">
        <f>AX28+AX144</f>
        <v>-1547</v>
      </c>
      <c r="AY19" s="875">
        <f>IF(L19=0,0,AB19/L19*100)</f>
        <v>100.74142889207425</v>
      </c>
      <c r="AZ19" s="876">
        <f>IF(M19=0,0,AC19/M19*100)</f>
        <v>102.44144747585568</v>
      </c>
      <c r="BA19" s="876">
        <f>IF(N19=0,0,AD19/N19*100)</f>
        <v>100.72045232601073</v>
      </c>
      <c r="BB19" s="876">
        <f>IF(O19=0,0,AE19/O19*100)</f>
        <v>97.652183150961434</v>
      </c>
      <c r="BC19" s="864">
        <f>IF(BC28+BC144=BD19+BE19,BD19+BE19,"CHYBA")</f>
        <v>-135566784.02000055</v>
      </c>
      <c r="BD19" s="865">
        <f>BD28+BD144</f>
        <v>-27680385.010000002</v>
      </c>
      <c r="BE19" s="865">
        <f>BE28+BE144</f>
        <v>-107886399.01000056</v>
      </c>
      <c r="BF19" s="865">
        <f>BF28+BF144</f>
        <v>-1629</v>
      </c>
      <c r="BG19" s="877">
        <f t="shared" ref="BG19:BG25" si="7">IF(F19=0,0,AF19/F19*100)</f>
        <v>105.06986158265865</v>
      </c>
      <c r="BH19" s="878">
        <f t="shared" ref="BH19:BH25" si="8">IF(K19=0,0,AF19/K19*100)</f>
        <v>104.16194698857568</v>
      </c>
      <c r="BI19" s="879">
        <f t="shared" ref="BI19:BI25" si="9">IF(P19=0,0,AF19/P19*100)</f>
        <v>103.14382771439558</v>
      </c>
      <c r="BJ19" s="880"/>
      <c r="BK19" s="874"/>
      <c r="BL19" s="864">
        <f>IF(BL28+BL144=BM19+BN19,BM19+BN19,"CHYBA")</f>
        <v>-170829848.4700003</v>
      </c>
      <c r="BM19" s="865">
        <f>BM28+BM144</f>
        <v>-25974489.530000001</v>
      </c>
      <c r="BN19" s="865">
        <f>BN28+BN144</f>
        <v>-144855358.9400003</v>
      </c>
      <c r="BO19" s="865">
        <f>BO28+BO144</f>
        <v>-1636</v>
      </c>
      <c r="BP19" s="875">
        <f>IF(W19=0,0,AB19/W19*100)</f>
        <v>99.324987836664107</v>
      </c>
      <c r="BQ19" s="876">
        <f>IF(X19=0,0,AC19/X19*100)</f>
        <v>92.31173027018049</v>
      </c>
      <c r="BR19" s="876">
        <f>IF(Y19=0,0,AD19/Y19*100)</f>
        <v>99.419780442342443</v>
      </c>
      <c r="BS19" s="881">
        <f>IF(Z19=0,0,AE19/Z19*100)</f>
        <v>97.520460745680509</v>
      </c>
      <c r="BT19" s="874"/>
      <c r="BU19" s="864">
        <f>IF(BU28+BU144=BV19+BW19,BV19+BW19,"CHYBA")</f>
        <v>1552251086.4499998</v>
      </c>
      <c r="BV19" s="865">
        <f>BV28+BV144</f>
        <v>22984072.439999998</v>
      </c>
      <c r="BW19" s="865">
        <f>BW28+BW144</f>
        <v>1529267014.0099998</v>
      </c>
      <c r="BX19" s="865">
        <f>BX28+BX144</f>
        <v>901</v>
      </c>
      <c r="BY19" s="875">
        <f>IF(B19=0,0,AB19/B19*100)</f>
        <v>106.57750495177827</v>
      </c>
      <c r="BZ19" s="876">
        <f>IF(C19=0,0,AC19/C19*100)</f>
        <v>107.95607299236423</v>
      </c>
      <c r="CA19" s="876">
        <f>IF(D19=0,0,AD19/D19*100)</f>
        <v>106.56042778392671</v>
      </c>
      <c r="CB19" s="881">
        <f>IF(E19=0,0,AE19/E19*100)</f>
        <v>101.42017243825165</v>
      </c>
      <c r="CC19" s="874"/>
      <c r="CD19" s="874"/>
      <c r="CE19" s="874"/>
      <c r="CF19" s="874"/>
      <c r="CG19" s="874"/>
      <c r="CH19" s="874"/>
      <c r="CI19" s="874"/>
      <c r="CJ19" s="874"/>
      <c r="CK19" s="874"/>
      <c r="CL19" s="874"/>
      <c r="CM19" s="874"/>
      <c r="CN19" s="874"/>
      <c r="CO19" s="874"/>
      <c r="CP19" s="874"/>
      <c r="CQ19" s="874"/>
      <c r="CR19" s="874"/>
      <c r="CS19" s="874"/>
      <c r="CT19" s="874"/>
      <c r="CU19" s="874"/>
      <c r="CV19" s="874"/>
      <c r="CW19" s="874"/>
      <c r="CX19" s="874"/>
      <c r="CY19" s="874"/>
      <c r="CZ19" s="874"/>
      <c r="DA19" s="874"/>
      <c r="DB19" s="874"/>
      <c r="DC19" s="874"/>
      <c r="DD19" s="874"/>
      <c r="DE19" s="874"/>
      <c r="DF19" s="874"/>
      <c r="DG19" s="874"/>
      <c r="DH19" s="874"/>
      <c r="DI19" s="874"/>
      <c r="DJ19" s="874"/>
      <c r="DK19" s="874"/>
      <c r="DL19" s="874"/>
      <c r="DM19" s="874"/>
      <c r="DN19" s="874"/>
      <c r="DO19" s="874"/>
      <c r="DP19" s="874"/>
      <c r="DQ19" s="874"/>
      <c r="DR19" s="874"/>
      <c r="DS19" s="874"/>
      <c r="DT19" s="874"/>
      <c r="DU19" s="874"/>
      <c r="DV19" s="874"/>
      <c r="DW19" s="874"/>
      <c r="DX19" s="874"/>
      <c r="DY19" s="874"/>
      <c r="DZ19" s="874"/>
      <c r="EA19" s="874"/>
    </row>
    <row r="20" spans="1:131" ht="20.25" hidden="1">
      <c r="A20" s="883" t="s">
        <v>700</v>
      </c>
      <c r="B20" s="884"/>
      <c r="C20" s="885"/>
      <c r="D20" s="885">
        <f t="shared" ref="D20:E25" si="10">D29+D145</f>
        <v>4254551331</v>
      </c>
      <c r="E20" s="885">
        <f t="shared" si="10"/>
        <v>15129</v>
      </c>
      <c r="F20" s="886">
        <f t="shared" si="0"/>
        <v>23435</v>
      </c>
      <c r="G20" s="884"/>
      <c r="H20" s="885"/>
      <c r="I20" s="885">
        <f t="shared" ref="I20:J25" si="11">I29+I145</f>
        <v>3848678130</v>
      </c>
      <c r="J20" s="885">
        <f t="shared" si="11"/>
        <v>14152</v>
      </c>
      <c r="K20" s="886">
        <f t="shared" si="1"/>
        <v>22663</v>
      </c>
      <c r="L20" s="884"/>
      <c r="M20" s="885"/>
      <c r="N20" s="885">
        <f t="shared" ref="N20:O25" si="12">N29+N145</f>
        <v>4116033039</v>
      </c>
      <c r="O20" s="885">
        <f t="shared" si="12"/>
        <v>14916</v>
      </c>
      <c r="P20" s="887">
        <f t="shared" si="2"/>
        <v>22996</v>
      </c>
      <c r="Q20" s="888"/>
      <c r="R20" s="885">
        <f t="shared" si="3"/>
        <v>266205512.67999998</v>
      </c>
      <c r="S20" s="889">
        <f t="shared" si="3"/>
        <v>89</v>
      </c>
      <c r="T20" s="888"/>
      <c r="U20" s="885">
        <f t="shared" si="3"/>
        <v>0</v>
      </c>
      <c r="V20" s="889">
        <f t="shared" si="3"/>
        <v>0</v>
      </c>
      <c r="W20" s="884"/>
      <c r="X20" s="885"/>
      <c r="Y20" s="885">
        <f t="shared" ref="Y20:Z25" si="13">Y29+Y145</f>
        <v>4382238551.6800003</v>
      </c>
      <c r="Z20" s="885">
        <f t="shared" si="13"/>
        <v>15005</v>
      </c>
      <c r="AA20" s="886">
        <f t="shared" si="4"/>
        <v>24338</v>
      </c>
      <c r="AB20" s="884"/>
      <c r="AC20" s="885"/>
      <c r="AD20" s="885">
        <f t="shared" ref="AD20:AE25" si="14">AD29+AD145</f>
        <v>4325556377.2600002</v>
      </c>
      <c r="AE20" s="885">
        <f t="shared" si="14"/>
        <v>14686</v>
      </c>
      <c r="AF20" s="886">
        <f t="shared" si="5"/>
        <v>24545</v>
      </c>
      <c r="AG20" s="888"/>
      <c r="AH20" s="885">
        <f t="shared" si="6"/>
        <v>228312497.97</v>
      </c>
      <c r="AI20" s="889">
        <f t="shared" si="6"/>
        <v>82</v>
      </c>
      <c r="AJ20" s="888"/>
      <c r="AK20" s="885">
        <f t="shared" si="6"/>
        <v>1880000</v>
      </c>
      <c r="AL20" s="889">
        <f t="shared" si="6"/>
        <v>0</v>
      </c>
      <c r="AM20" s="888"/>
      <c r="AN20" s="885">
        <f t="shared" si="6"/>
        <v>2565.71</v>
      </c>
      <c r="AO20" s="889">
        <f t="shared" si="6"/>
        <v>0</v>
      </c>
      <c r="AP20" s="888"/>
      <c r="AQ20" s="885">
        <f t="shared" si="6"/>
        <v>0</v>
      </c>
      <c r="AR20" s="889">
        <f t="shared" si="6"/>
        <v>0</v>
      </c>
      <c r="AS20" s="890"/>
      <c r="AT20" s="874"/>
      <c r="AU20" s="884"/>
      <c r="AV20" s="885"/>
      <c r="AW20" s="885">
        <f t="shared" ref="AW20:AX25" si="15">AW29+AW145</f>
        <v>209523338.26000011</v>
      </c>
      <c r="AX20" s="885">
        <f t="shared" si="15"/>
        <v>-230</v>
      </c>
      <c r="AY20" s="891"/>
      <c r="AZ20" s="892"/>
      <c r="BA20" s="892">
        <f t="shared" ref="BA20:BB25" si="16">IF(N20=0,0,AD20/N20*100)</f>
        <v>105.09041925258462</v>
      </c>
      <c r="BB20" s="892">
        <f t="shared" si="16"/>
        <v>98.45803164387236</v>
      </c>
      <c r="BC20" s="884"/>
      <c r="BD20" s="885"/>
      <c r="BE20" s="885">
        <f t="shared" ref="BE20:BF25" si="17">BE29+BE145</f>
        <v>-20671725.419999897</v>
      </c>
      <c r="BF20" s="885">
        <f t="shared" si="17"/>
        <v>-312</v>
      </c>
      <c r="BG20" s="893">
        <f t="shared" si="7"/>
        <v>104.73650522722424</v>
      </c>
      <c r="BH20" s="892">
        <f t="shared" si="8"/>
        <v>108.30428451661298</v>
      </c>
      <c r="BI20" s="894">
        <f t="shared" si="9"/>
        <v>106.73595407897025</v>
      </c>
      <c r="BJ20" s="895"/>
      <c r="BK20" s="874"/>
      <c r="BL20" s="884"/>
      <c r="BM20" s="885"/>
      <c r="BN20" s="885">
        <f t="shared" ref="BN20:BO25" si="18">BN29+BN145</f>
        <v>-56682174.419999778</v>
      </c>
      <c r="BO20" s="885">
        <f t="shared" si="18"/>
        <v>-319</v>
      </c>
      <c r="BP20" s="884"/>
      <c r="BQ20" s="885"/>
      <c r="BR20" s="892">
        <f t="shared" ref="BR20:BS25" si="19">IF(Y20=0,0,AD20/Y20*100)</f>
        <v>98.706547492758688</v>
      </c>
      <c r="BS20" s="894">
        <f t="shared" si="19"/>
        <v>97.87404198600467</v>
      </c>
      <c r="BT20" s="874"/>
      <c r="BU20" s="884"/>
      <c r="BV20" s="885"/>
      <c r="BW20" s="885">
        <f t="shared" ref="BW20:BX25" si="20">BW29+BW145</f>
        <v>71005046.26000011</v>
      </c>
      <c r="BX20" s="885">
        <f t="shared" si="20"/>
        <v>-443</v>
      </c>
      <c r="BY20" s="891"/>
      <c r="BZ20" s="892"/>
      <c r="CA20" s="892">
        <f t="shared" ref="CA20:CB25" si="21">IF(D20=0,0,AD20/D20*100)</f>
        <v>101.66891972233675</v>
      </c>
      <c r="CB20" s="894">
        <f t="shared" si="21"/>
        <v>97.071848767268165</v>
      </c>
      <c r="CC20" s="874"/>
      <c r="CD20" s="874"/>
      <c r="CE20" s="874"/>
      <c r="CF20" s="874"/>
      <c r="CG20" s="874"/>
      <c r="CH20" s="874"/>
      <c r="CI20" s="874"/>
      <c r="CJ20" s="874"/>
      <c r="CK20" s="874"/>
      <c r="CL20" s="874"/>
      <c r="CM20" s="874"/>
      <c r="CN20" s="874"/>
      <c r="CO20" s="874"/>
      <c r="CP20" s="874"/>
      <c r="CQ20" s="874"/>
      <c r="CR20" s="874"/>
      <c r="CS20" s="874"/>
      <c r="CT20" s="874"/>
      <c r="CU20" s="874"/>
      <c r="CV20" s="874"/>
      <c r="CW20" s="874"/>
      <c r="CX20" s="874"/>
      <c r="CY20" s="874"/>
      <c r="CZ20" s="874"/>
      <c r="DA20" s="874"/>
      <c r="DB20" s="874"/>
      <c r="DC20" s="874"/>
      <c r="DD20" s="874"/>
      <c r="DE20" s="874"/>
      <c r="DF20" s="874"/>
      <c r="DG20" s="874"/>
      <c r="DH20" s="874"/>
      <c r="DI20" s="874"/>
      <c r="DJ20" s="874"/>
      <c r="DK20" s="874"/>
      <c r="DL20" s="874"/>
      <c r="DM20" s="874"/>
      <c r="DN20" s="874"/>
      <c r="DO20" s="874"/>
      <c r="DP20" s="874"/>
      <c r="DQ20" s="874"/>
      <c r="DR20" s="874"/>
      <c r="DS20" s="874"/>
      <c r="DT20" s="874"/>
      <c r="DU20" s="874"/>
      <c r="DV20" s="874"/>
      <c r="DW20" s="874"/>
      <c r="DX20" s="874"/>
      <c r="DY20" s="874"/>
      <c r="DZ20" s="874"/>
      <c r="EA20" s="874"/>
    </row>
    <row r="21" spans="1:131" ht="20.25" hidden="1">
      <c r="A21" s="896" t="s">
        <v>701</v>
      </c>
      <c r="B21" s="884"/>
      <c r="C21" s="885"/>
      <c r="D21" s="885">
        <f t="shared" si="10"/>
        <v>19066094950</v>
      </c>
      <c r="E21" s="885">
        <f t="shared" si="10"/>
        <v>48314</v>
      </c>
      <c r="F21" s="886">
        <f t="shared" si="0"/>
        <v>32886</v>
      </c>
      <c r="G21" s="884"/>
      <c r="H21" s="885"/>
      <c r="I21" s="885">
        <f t="shared" si="11"/>
        <v>19842087370</v>
      </c>
      <c r="J21" s="885">
        <f t="shared" si="11"/>
        <v>49772</v>
      </c>
      <c r="K21" s="886">
        <f t="shared" si="1"/>
        <v>33222</v>
      </c>
      <c r="L21" s="884"/>
      <c r="M21" s="885"/>
      <c r="N21" s="885">
        <f t="shared" si="12"/>
        <v>20178431583</v>
      </c>
      <c r="O21" s="885">
        <f t="shared" si="12"/>
        <v>50127</v>
      </c>
      <c r="P21" s="887">
        <f t="shared" si="2"/>
        <v>33546</v>
      </c>
      <c r="Q21" s="888"/>
      <c r="R21" s="885">
        <f t="shared" si="3"/>
        <v>49024540.640000001</v>
      </c>
      <c r="S21" s="889">
        <f t="shared" si="3"/>
        <v>0</v>
      </c>
      <c r="T21" s="888"/>
      <c r="U21" s="885">
        <f t="shared" si="3"/>
        <v>0</v>
      </c>
      <c r="V21" s="889">
        <f t="shared" si="3"/>
        <v>0</v>
      </c>
      <c r="W21" s="884"/>
      <c r="X21" s="885"/>
      <c r="Y21" s="885">
        <f t="shared" si="13"/>
        <v>20227456123.639999</v>
      </c>
      <c r="Z21" s="885">
        <f t="shared" si="13"/>
        <v>50127</v>
      </c>
      <c r="AA21" s="886">
        <f t="shared" si="4"/>
        <v>33627</v>
      </c>
      <c r="AB21" s="884"/>
      <c r="AC21" s="885"/>
      <c r="AD21" s="885">
        <f t="shared" si="14"/>
        <v>20205867055.43</v>
      </c>
      <c r="AE21" s="885">
        <f t="shared" si="14"/>
        <v>48958</v>
      </c>
      <c r="AF21" s="886">
        <f t="shared" si="5"/>
        <v>34393</v>
      </c>
      <c r="AG21" s="888"/>
      <c r="AH21" s="885">
        <f t="shared" si="6"/>
        <v>33832555.25</v>
      </c>
      <c r="AI21" s="889">
        <f t="shared" si="6"/>
        <v>0</v>
      </c>
      <c r="AJ21" s="888"/>
      <c r="AK21" s="885">
        <f t="shared" si="6"/>
        <v>791500</v>
      </c>
      <c r="AL21" s="889">
        <f t="shared" si="6"/>
        <v>0</v>
      </c>
      <c r="AM21" s="888"/>
      <c r="AN21" s="885">
        <f t="shared" si="6"/>
        <v>15191814.390000001</v>
      </c>
      <c r="AO21" s="889">
        <f t="shared" si="6"/>
        <v>0</v>
      </c>
      <c r="AP21" s="888"/>
      <c r="AQ21" s="885">
        <f t="shared" si="6"/>
        <v>0</v>
      </c>
      <c r="AR21" s="889">
        <f t="shared" si="6"/>
        <v>0</v>
      </c>
      <c r="AS21" s="890"/>
      <c r="AT21" s="874"/>
      <c r="AU21" s="884"/>
      <c r="AV21" s="885"/>
      <c r="AW21" s="885">
        <f t="shared" si="15"/>
        <v>27435472.429999352</v>
      </c>
      <c r="AX21" s="885">
        <f t="shared" si="15"/>
        <v>-1169</v>
      </c>
      <c r="AY21" s="891"/>
      <c r="AZ21" s="892"/>
      <c r="BA21" s="892">
        <f t="shared" si="16"/>
        <v>100.13596434548022</v>
      </c>
      <c r="BB21" s="892">
        <f t="shared" si="16"/>
        <v>97.667923474375087</v>
      </c>
      <c r="BC21" s="884"/>
      <c r="BD21" s="885"/>
      <c r="BE21" s="885">
        <f t="shared" si="17"/>
        <v>-22380397.210000649</v>
      </c>
      <c r="BF21" s="885">
        <f t="shared" si="17"/>
        <v>-1169</v>
      </c>
      <c r="BG21" s="893">
        <f t="shared" si="7"/>
        <v>104.58249711123275</v>
      </c>
      <c r="BH21" s="892">
        <f t="shared" si="8"/>
        <v>103.5247727409548</v>
      </c>
      <c r="BI21" s="894">
        <f t="shared" si="9"/>
        <v>102.52489119418114</v>
      </c>
      <c r="BJ21" s="895"/>
      <c r="BK21" s="874"/>
      <c r="BL21" s="884"/>
      <c r="BM21" s="885"/>
      <c r="BN21" s="885">
        <f t="shared" si="18"/>
        <v>-21589068.210000515</v>
      </c>
      <c r="BO21" s="885">
        <f t="shared" si="18"/>
        <v>-1169</v>
      </c>
      <c r="BP21" s="884"/>
      <c r="BQ21" s="885"/>
      <c r="BR21" s="892">
        <f t="shared" si="19"/>
        <v>99.89326849566234</v>
      </c>
      <c r="BS21" s="894">
        <f t="shared" si="19"/>
        <v>97.667923474375087</v>
      </c>
      <c r="BT21" s="874"/>
      <c r="BU21" s="884"/>
      <c r="BV21" s="885"/>
      <c r="BW21" s="885">
        <f t="shared" si="20"/>
        <v>1139772105.4299994</v>
      </c>
      <c r="BX21" s="885">
        <f t="shared" si="20"/>
        <v>644</v>
      </c>
      <c r="BY21" s="891"/>
      <c r="BZ21" s="892"/>
      <c r="CA21" s="892">
        <f t="shared" si="21"/>
        <v>105.9780049790951</v>
      </c>
      <c r="CB21" s="894">
        <f t="shared" si="21"/>
        <v>101.33294697189221</v>
      </c>
      <c r="CC21" s="874"/>
      <c r="CD21" s="874"/>
      <c r="CE21" s="874"/>
      <c r="CF21" s="874"/>
      <c r="CG21" s="874"/>
      <c r="CH21" s="874"/>
      <c r="CI21" s="874"/>
      <c r="CJ21" s="874"/>
      <c r="CK21" s="874"/>
      <c r="CL21" s="874"/>
      <c r="CM21" s="874"/>
      <c r="CN21" s="874"/>
      <c r="CO21" s="874"/>
      <c r="CP21" s="874"/>
      <c r="CQ21" s="874"/>
      <c r="CR21" s="874"/>
      <c r="CS21" s="874"/>
      <c r="CT21" s="874"/>
      <c r="CU21" s="874"/>
      <c r="CV21" s="874"/>
      <c r="CW21" s="874"/>
      <c r="CX21" s="874"/>
      <c r="CY21" s="874"/>
      <c r="CZ21" s="874"/>
      <c r="DA21" s="874"/>
      <c r="DB21" s="874"/>
      <c r="DC21" s="874"/>
      <c r="DD21" s="874"/>
      <c r="DE21" s="874"/>
      <c r="DF21" s="874"/>
      <c r="DG21" s="874"/>
      <c r="DH21" s="874"/>
      <c r="DI21" s="874"/>
      <c r="DJ21" s="874"/>
      <c r="DK21" s="874"/>
      <c r="DL21" s="874"/>
      <c r="DM21" s="874"/>
      <c r="DN21" s="874"/>
      <c r="DO21" s="874"/>
      <c r="DP21" s="874"/>
      <c r="DQ21" s="874"/>
      <c r="DR21" s="874"/>
      <c r="DS21" s="874"/>
      <c r="DT21" s="874"/>
      <c r="DU21" s="874"/>
      <c r="DV21" s="874"/>
      <c r="DW21" s="874"/>
      <c r="DX21" s="874"/>
      <c r="DY21" s="874"/>
      <c r="DZ21" s="874"/>
      <c r="EA21" s="874"/>
    </row>
    <row r="22" spans="1:131" ht="20.25" hidden="1">
      <c r="A22" s="896" t="s">
        <v>702</v>
      </c>
      <c r="B22" s="884"/>
      <c r="C22" s="885"/>
      <c r="D22" s="885">
        <f t="shared" si="10"/>
        <v>15316582050</v>
      </c>
      <c r="E22" s="885">
        <f t="shared" si="10"/>
        <v>39098</v>
      </c>
      <c r="F22" s="886">
        <f t="shared" si="0"/>
        <v>32646</v>
      </c>
      <c r="G22" s="884"/>
      <c r="H22" s="885"/>
      <c r="I22" s="885">
        <f t="shared" si="11"/>
        <v>15926107273</v>
      </c>
      <c r="J22" s="885">
        <f t="shared" si="11"/>
        <v>40272</v>
      </c>
      <c r="K22" s="886">
        <f t="shared" si="1"/>
        <v>32955</v>
      </c>
      <c r="L22" s="884"/>
      <c r="M22" s="885"/>
      <c r="N22" s="885">
        <f t="shared" si="12"/>
        <v>16215971034</v>
      </c>
      <c r="O22" s="885">
        <f t="shared" si="12"/>
        <v>40566</v>
      </c>
      <c r="P22" s="887">
        <f t="shared" si="2"/>
        <v>33312</v>
      </c>
      <c r="Q22" s="888"/>
      <c r="R22" s="885">
        <f t="shared" si="3"/>
        <v>2261554</v>
      </c>
      <c r="S22" s="889">
        <f t="shared" si="3"/>
        <v>0</v>
      </c>
      <c r="T22" s="888"/>
      <c r="U22" s="885">
        <f t="shared" si="3"/>
        <v>0</v>
      </c>
      <c r="V22" s="889">
        <f t="shared" si="3"/>
        <v>0</v>
      </c>
      <c r="W22" s="884"/>
      <c r="X22" s="885"/>
      <c r="Y22" s="885">
        <f t="shared" si="13"/>
        <v>16218232588</v>
      </c>
      <c r="Z22" s="885">
        <f t="shared" si="13"/>
        <v>40566</v>
      </c>
      <c r="AA22" s="886">
        <f t="shared" si="4"/>
        <v>33317</v>
      </c>
      <c r="AB22" s="884"/>
      <c r="AC22" s="885"/>
      <c r="AD22" s="885">
        <f t="shared" si="14"/>
        <v>16209194932.029999</v>
      </c>
      <c r="AE22" s="885">
        <f t="shared" si="14"/>
        <v>39639</v>
      </c>
      <c r="AF22" s="886">
        <f t="shared" si="5"/>
        <v>34077</v>
      </c>
      <c r="AG22" s="888"/>
      <c r="AH22" s="885">
        <f t="shared" si="6"/>
        <v>2261554</v>
      </c>
      <c r="AI22" s="889">
        <f t="shared" si="6"/>
        <v>0</v>
      </c>
      <c r="AJ22" s="888"/>
      <c r="AK22" s="885">
        <f t="shared" si="6"/>
        <v>791500</v>
      </c>
      <c r="AL22" s="889">
        <f t="shared" si="6"/>
        <v>0</v>
      </c>
      <c r="AM22" s="888"/>
      <c r="AN22" s="885">
        <f t="shared" si="6"/>
        <v>0</v>
      </c>
      <c r="AO22" s="889">
        <f t="shared" si="6"/>
        <v>0</v>
      </c>
      <c r="AP22" s="888"/>
      <c r="AQ22" s="885">
        <f t="shared" si="6"/>
        <v>0</v>
      </c>
      <c r="AR22" s="889">
        <f t="shared" si="6"/>
        <v>0</v>
      </c>
      <c r="AS22" s="890"/>
      <c r="AT22" s="874"/>
      <c r="AU22" s="884"/>
      <c r="AV22" s="885"/>
      <c r="AW22" s="885">
        <f t="shared" si="15"/>
        <v>-6776101.9700007439</v>
      </c>
      <c r="AX22" s="885">
        <f t="shared" si="15"/>
        <v>-927</v>
      </c>
      <c r="AY22" s="891"/>
      <c r="AZ22" s="892"/>
      <c r="BA22" s="892">
        <f t="shared" si="16"/>
        <v>99.958213406056331</v>
      </c>
      <c r="BB22" s="892">
        <f t="shared" si="16"/>
        <v>97.714835083567522</v>
      </c>
      <c r="BC22" s="884"/>
      <c r="BD22" s="885"/>
      <c r="BE22" s="885">
        <f t="shared" si="17"/>
        <v>-9829155.9700007439</v>
      </c>
      <c r="BF22" s="885">
        <f t="shared" si="17"/>
        <v>-927</v>
      </c>
      <c r="BG22" s="893">
        <f t="shared" si="7"/>
        <v>104.38338540709428</v>
      </c>
      <c r="BH22" s="892">
        <f t="shared" si="8"/>
        <v>103.40464269458352</v>
      </c>
      <c r="BI22" s="894">
        <f t="shared" si="9"/>
        <v>102.296469740634</v>
      </c>
      <c r="BJ22" s="895"/>
      <c r="BK22" s="874"/>
      <c r="BL22" s="884"/>
      <c r="BM22" s="885"/>
      <c r="BN22" s="885">
        <f t="shared" si="18"/>
        <v>-9037655.9700007439</v>
      </c>
      <c r="BO22" s="885">
        <f t="shared" si="18"/>
        <v>-927</v>
      </c>
      <c r="BP22" s="884"/>
      <c r="BQ22" s="885"/>
      <c r="BR22" s="892">
        <f t="shared" si="19"/>
        <v>99.944274717229746</v>
      </c>
      <c r="BS22" s="894">
        <f t="shared" si="19"/>
        <v>97.714835083567522</v>
      </c>
      <c r="BT22" s="874"/>
      <c r="BU22" s="884"/>
      <c r="BV22" s="885"/>
      <c r="BW22" s="885">
        <f t="shared" si="20"/>
        <v>892612882.02999926</v>
      </c>
      <c r="BX22" s="885">
        <f t="shared" si="20"/>
        <v>541</v>
      </c>
      <c r="BY22" s="891"/>
      <c r="BZ22" s="892"/>
      <c r="CA22" s="892">
        <f t="shared" si="21"/>
        <v>105.82775503775008</v>
      </c>
      <c r="CB22" s="894">
        <f t="shared" si="21"/>
        <v>101.38370249117601</v>
      </c>
      <c r="CC22" s="874"/>
      <c r="CD22" s="874"/>
      <c r="CE22" s="874"/>
      <c r="CF22" s="874"/>
      <c r="CG22" s="874"/>
      <c r="CH22" s="874"/>
      <c r="CI22" s="874"/>
      <c r="CJ22" s="874"/>
      <c r="CK22" s="874"/>
      <c r="CL22" s="874"/>
      <c r="CM22" s="874"/>
      <c r="CN22" s="874"/>
      <c r="CO22" s="874"/>
      <c r="CP22" s="874"/>
      <c r="CQ22" s="874"/>
      <c r="CR22" s="874"/>
      <c r="CS22" s="874"/>
      <c r="CT22" s="874"/>
      <c r="CU22" s="874"/>
      <c r="CV22" s="874"/>
      <c r="CW22" s="874"/>
      <c r="CX22" s="874"/>
      <c r="CY22" s="874"/>
      <c r="CZ22" s="874"/>
      <c r="DA22" s="874"/>
      <c r="DB22" s="874"/>
      <c r="DC22" s="874"/>
      <c r="DD22" s="874"/>
      <c r="DE22" s="874"/>
      <c r="DF22" s="874"/>
      <c r="DG22" s="874"/>
      <c r="DH22" s="874"/>
      <c r="DI22" s="874"/>
      <c r="DJ22" s="874"/>
      <c r="DK22" s="874"/>
      <c r="DL22" s="874"/>
      <c r="DM22" s="874"/>
      <c r="DN22" s="874"/>
      <c r="DO22" s="874"/>
      <c r="DP22" s="874"/>
      <c r="DQ22" s="874"/>
      <c r="DR22" s="874"/>
      <c r="DS22" s="874"/>
      <c r="DT22" s="874"/>
      <c r="DU22" s="874"/>
      <c r="DV22" s="874"/>
      <c r="DW22" s="874"/>
      <c r="DX22" s="874"/>
      <c r="DY22" s="874"/>
      <c r="DZ22" s="874"/>
      <c r="EA22" s="874"/>
    </row>
    <row r="23" spans="1:131" ht="20.25" hidden="1">
      <c r="A23" s="896" t="s">
        <v>703</v>
      </c>
      <c r="B23" s="884"/>
      <c r="C23" s="885"/>
      <c r="D23" s="885">
        <f t="shared" si="10"/>
        <v>3749512900</v>
      </c>
      <c r="E23" s="885">
        <f t="shared" si="10"/>
        <v>9216</v>
      </c>
      <c r="F23" s="886">
        <f t="shared" si="0"/>
        <v>33904</v>
      </c>
      <c r="G23" s="884"/>
      <c r="H23" s="885"/>
      <c r="I23" s="885">
        <f t="shared" si="11"/>
        <v>3915980097</v>
      </c>
      <c r="J23" s="885">
        <f t="shared" si="11"/>
        <v>9500</v>
      </c>
      <c r="K23" s="886">
        <f t="shared" si="1"/>
        <v>34351</v>
      </c>
      <c r="L23" s="884"/>
      <c r="M23" s="885"/>
      <c r="N23" s="885">
        <f t="shared" si="12"/>
        <v>3962460549</v>
      </c>
      <c r="O23" s="885">
        <f t="shared" si="12"/>
        <v>9561</v>
      </c>
      <c r="P23" s="887">
        <f t="shared" si="2"/>
        <v>34537</v>
      </c>
      <c r="Q23" s="888"/>
      <c r="R23" s="885">
        <f t="shared" si="3"/>
        <v>46762986.640000001</v>
      </c>
      <c r="S23" s="889">
        <f t="shared" si="3"/>
        <v>0</v>
      </c>
      <c r="T23" s="888"/>
      <c r="U23" s="885">
        <f t="shared" si="3"/>
        <v>0</v>
      </c>
      <c r="V23" s="889">
        <f t="shared" si="3"/>
        <v>0</v>
      </c>
      <c r="W23" s="884"/>
      <c r="X23" s="885"/>
      <c r="Y23" s="885">
        <f t="shared" si="13"/>
        <v>4009223535.6399999</v>
      </c>
      <c r="Z23" s="885">
        <f t="shared" si="13"/>
        <v>9561</v>
      </c>
      <c r="AA23" s="886">
        <f t="shared" si="4"/>
        <v>34944</v>
      </c>
      <c r="AB23" s="884"/>
      <c r="AC23" s="885"/>
      <c r="AD23" s="885">
        <f t="shared" si="14"/>
        <v>3996672123.4000001</v>
      </c>
      <c r="AE23" s="885">
        <f t="shared" si="14"/>
        <v>9319</v>
      </c>
      <c r="AF23" s="886">
        <f t="shared" si="5"/>
        <v>35739</v>
      </c>
      <c r="AG23" s="888"/>
      <c r="AH23" s="885">
        <f t="shared" si="6"/>
        <v>31571001.25</v>
      </c>
      <c r="AI23" s="889">
        <f t="shared" si="6"/>
        <v>0</v>
      </c>
      <c r="AJ23" s="888"/>
      <c r="AK23" s="885">
        <f t="shared" si="6"/>
        <v>0</v>
      </c>
      <c r="AL23" s="889">
        <f t="shared" si="6"/>
        <v>0</v>
      </c>
      <c r="AM23" s="888"/>
      <c r="AN23" s="885">
        <f t="shared" si="6"/>
        <v>15191814.390000001</v>
      </c>
      <c r="AO23" s="889">
        <f t="shared" si="6"/>
        <v>0</v>
      </c>
      <c r="AP23" s="888"/>
      <c r="AQ23" s="885">
        <f t="shared" si="6"/>
        <v>0</v>
      </c>
      <c r="AR23" s="889">
        <f t="shared" si="6"/>
        <v>0</v>
      </c>
      <c r="AS23" s="890"/>
      <c r="AT23" s="874"/>
      <c r="AU23" s="884"/>
      <c r="AV23" s="885"/>
      <c r="AW23" s="885">
        <f t="shared" si="15"/>
        <v>34211574.400000095</v>
      </c>
      <c r="AX23" s="885">
        <f t="shared" si="15"/>
        <v>-242</v>
      </c>
      <c r="AY23" s="891"/>
      <c r="AZ23" s="892"/>
      <c r="BA23" s="892">
        <f t="shared" si="16"/>
        <v>100.86339217708134</v>
      </c>
      <c r="BB23" s="892">
        <f t="shared" si="16"/>
        <v>97.468884007948958</v>
      </c>
      <c r="BC23" s="884"/>
      <c r="BD23" s="885"/>
      <c r="BE23" s="885">
        <f t="shared" si="17"/>
        <v>-12551241.239999907</v>
      </c>
      <c r="BF23" s="885">
        <f t="shared" si="17"/>
        <v>-242</v>
      </c>
      <c r="BG23" s="893">
        <f t="shared" si="7"/>
        <v>105.41234072675792</v>
      </c>
      <c r="BH23" s="892">
        <f t="shared" si="8"/>
        <v>104.0406392826992</v>
      </c>
      <c r="BI23" s="894">
        <f t="shared" si="9"/>
        <v>103.48032544807018</v>
      </c>
      <c r="BJ23" s="895"/>
      <c r="BK23" s="874"/>
      <c r="BL23" s="884"/>
      <c r="BM23" s="885"/>
      <c r="BN23" s="885">
        <f t="shared" si="18"/>
        <v>-12551412.239999682</v>
      </c>
      <c r="BO23" s="885">
        <f t="shared" si="18"/>
        <v>-242</v>
      </c>
      <c r="BP23" s="884"/>
      <c r="BQ23" s="885"/>
      <c r="BR23" s="892">
        <f t="shared" si="19"/>
        <v>99.686936581898607</v>
      </c>
      <c r="BS23" s="894">
        <f t="shared" si="19"/>
        <v>97.468884007948958</v>
      </c>
      <c r="BT23" s="874"/>
      <c r="BU23" s="884"/>
      <c r="BV23" s="885"/>
      <c r="BW23" s="885">
        <f t="shared" si="20"/>
        <v>247159223.4000001</v>
      </c>
      <c r="BX23" s="885">
        <f t="shared" si="20"/>
        <v>103</v>
      </c>
      <c r="BY23" s="891"/>
      <c r="BZ23" s="892"/>
      <c r="CA23" s="892">
        <f t="shared" si="21"/>
        <v>106.5917688508286</v>
      </c>
      <c r="CB23" s="894">
        <f t="shared" si="21"/>
        <v>101.11762152777777</v>
      </c>
      <c r="CC23" s="874"/>
      <c r="CD23" s="874"/>
      <c r="CE23" s="874"/>
      <c r="CF23" s="874"/>
      <c r="CG23" s="874"/>
      <c r="CH23" s="874"/>
      <c r="CI23" s="874"/>
      <c r="CJ23" s="874"/>
      <c r="CK23" s="874"/>
      <c r="CL23" s="874"/>
      <c r="CM23" s="874"/>
      <c r="CN23" s="874"/>
      <c r="CO23" s="874"/>
      <c r="CP23" s="874"/>
      <c r="CQ23" s="874"/>
      <c r="CR23" s="874"/>
      <c r="CS23" s="874"/>
      <c r="CT23" s="874"/>
      <c r="CU23" s="874"/>
      <c r="CV23" s="874"/>
      <c r="CW23" s="874"/>
      <c r="CX23" s="874"/>
      <c r="CY23" s="874"/>
      <c r="CZ23" s="874"/>
      <c r="DA23" s="874"/>
      <c r="DB23" s="874"/>
      <c r="DC23" s="874"/>
      <c r="DD23" s="874"/>
      <c r="DE23" s="874"/>
      <c r="DF23" s="874"/>
      <c r="DG23" s="874"/>
      <c r="DH23" s="874"/>
      <c r="DI23" s="874"/>
      <c r="DJ23" s="874"/>
      <c r="DK23" s="874"/>
      <c r="DL23" s="874"/>
      <c r="DM23" s="874"/>
      <c r="DN23" s="874"/>
      <c r="DO23" s="874"/>
      <c r="DP23" s="874"/>
      <c r="DQ23" s="874"/>
      <c r="DR23" s="874"/>
      <c r="DS23" s="874"/>
      <c r="DT23" s="874"/>
      <c r="DU23" s="874"/>
      <c r="DV23" s="874"/>
      <c r="DW23" s="874"/>
      <c r="DX23" s="874"/>
      <c r="DY23" s="874"/>
      <c r="DZ23" s="874"/>
      <c r="EA23" s="874"/>
    </row>
    <row r="24" spans="1:131" ht="20.25" hidden="1">
      <c r="A24" s="896" t="s">
        <v>704</v>
      </c>
      <c r="B24" s="884"/>
      <c r="C24" s="885"/>
      <c r="D24" s="885">
        <f t="shared" si="10"/>
        <v>0</v>
      </c>
      <c r="E24" s="885">
        <f t="shared" si="10"/>
        <v>0</v>
      </c>
      <c r="F24" s="886">
        <f t="shared" si="0"/>
        <v>0</v>
      </c>
      <c r="G24" s="884"/>
      <c r="H24" s="885"/>
      <c r="I24" s="885">
        <f t="shared" si="11"/>
        <v>466840628</v>
      </c>
      <c r="J24" s="885">
        <f t="shared" si="11"/>
        <v>1228</v>
      </c>
      <c r="K24" s="886">
        <f t="shared" si="1"/>
        <v>31680</v>
      </c>
      <c r="L24" s="884"/>
      <c r="M24" s="885"/>
      <c r="N24" s="885">
        <f t="shared" si="12"/>
        <v>377518677</v>
      </c>
      <c r="O24" s="885">
        <f t="shared" si="12"/>
        <v>848</v>
      </c>
      <c r="P24" s="887">
        <f t="shared" si="2"/>
        <v>37099</v>
      </c>
      <c r="Q24" s="888"/>
      <c r="R24" s="885">
        <f t="shared" si="3"/>
        <v>7555301.6299999999</v>
      </c>
      <c r="S24" s="889">
        <f t="shared" si="3"/>
        <v>0</v>
      </c>
      <c r="T24" s="888"/>
      <c r="U24" s="885">
        <f t="shared" si="3"/>
        <v>0</v>
      </c>
      <c r="V24" s="889">
        <f t="shared" si="3"/>
        <v>0</v>
      </c>
      <c r="W24" s="884"/>
      <c r="X24" s="885"/>
      <c r="Y24" s="885">
        <f t="shared" si="13"/>
        <v>385073978.63</v>
      </c>
      <c r="Z24" s="885">
        <f t="shared" si="13"/>
        <v>848</v>
      </c>
      <c r="AA24" s="886">
        <f t="shared" si="4"/>
        <v>37841</v>
      </c>
      <c r="AB24" s="884"/>
      <c r="AC24" s="885"/>
      <c r="AD24" s="885">
        <f t="shared" si="14"/>
        <v>318489862.31999999</v>
      </c>
      <c r="AE24" s="885">
        <f t="shared" si="14"/>
        <v>700</v>
      </c>
      <c r="AF24" s="886">
        <f t="shared" si="5"/>
        <v>37915</v>
      </c>
      <c r="AG24" s="888"/>
      <c r="AH24" s="885">
        <f t="shared" si="6"/>
        <v>5805461.7000000002</v>
      </c>
      <c r="AI24" s="889">
        <f t="shared" si="6"/>
        <v>0</v>
      </c>
      <c r="AJ24" s="888"/>
      <c r="AK24" s="885">
        <f t="shared" si="6"/>
        <v>0</v>
      </c>
      <c r="AL24" s="889">
        <f t="shared" si="6"/>
        <v>0</v>
      </c>
      <c r="AM24" s="888"/>
      <c r="AN24" s="885">
        <f t="shared" si="6"/>
        <v>0</v>
      </c>
      <c r="AO24" s="889">
        <f t="shared" si="6"/>
        <v>0</v>
      </c>
      <c r="AP24" s="888"/>
      <c r="AQ24" s="885">
        <f t="shared" si="6"/>
        <v>0</v>
      </c>
      <c r="AR24" s="889">
        <f t="shared" si="6"/>
        <v>0</v>
      </c>
      <c r="AS24" s="890"/>
      <c r="AT24" s="874"/>
      <c r="AU24" s="884"/>
      <c r="AV24" s="885"/>
      <c r="AW24" s="885">
        <f t="shared" si="15"/>
        <v>-59028814.680000007</v>
      </c>
      <c r="AX24" s="885">
        <f t="shared" si="15"/>
        <v>-148</v>
      </c>
      <c r="AY24" s="891"/>
      <c r="AZ24" s="892"/>
      <c r="BA24" s="892">
        <f t="shared" si="16"/>
        <v>84.364001498129852</v>
      </c>
      <c r="BB24" s="892">
        <f t="shared" si="16"/>
        <v>82.547169811320757</v>
      </c>
      <c r="BC24" s="884"/>
      <c r="BD24" s="885"/>
      <c r="BE24" s="885">
        <f t="shared" si="17"/>
        <v>-64834276.38000001</v>
      </c>
      <c r="BF24" s="885">
        <f t="shared" si="17"/>
        <v>-148</v>
      </c>
      <c r="BG24" s="893">
        <f t="shared" si="7"/>
        <v>0</v>
      </c>
      <c r="BH24" s="892">
        <f t="shared" si="8"/>
        <v>119.68118686868688</v>
      </c>
      <c r="BI24" s="894">
        <f t="shared" si="9"/>
        <v>102.19952020270088</v>
      </c>
      <c r="BJ24" s="895"/>
      <c r="BK24" s="874"/>
      <c r="BL24" s="884"/>
      <c r="BM24" s="885"/>
      <c r="BN24" s="885">
        <f t="shared" si="18"/>
        <v>-66584116.310000002</v>
      </c>
      <c r="BO24" s="885">
        <f t="shared" si="18"/>
        <v>-148</v>
      </c>
      <c r="BP24" s="884"/>
      <c r="BQ24" s="885"/>
      <c r="BR24" s="892">
        <f t="shared" si="19"/>
        <v>82.708746888873094</v>
      </c>
      <c r="BS24" s="894">
        <f t="shared" si="19"/>
        <v>82.547169811320757</v>
      </c>
      <c r="BT24" s="874"/>
      <c r="BU24" s="884"/>
      <c r="BV24" s="885"/>
      <c r="BW24" s="885">
        <f t="shared" si="20"/>
        <v>318489862.31999999</v>
      </c>
      <c r="BX24" s="885">
        <f t="shared" si="20"/>
        <v>700</v>
      </c>
      <c r="BY24" s="891"/>
      <c r="BZ24" s="892"/>
      <c r="CA24" s="892">
        <f t="shared" si="21"/>
        <v>0</v>
      </c>
      <c r="CB24" s="894">
        <f t="shared" si="21"/>
        <v>0</v>
      </c>
      <c r="CC24" s="874"/>
      <c r="CD24" s="874"/>
      <c r="CE24" s="874"/>
      <c r="CF24" s="874"/>
      <c r="CG24" s="874"/>
      <c r="CH24" s="874"/>
      <c r="CI24" s="874"/>
      <c r="CJ24" s="874"/>
      <c r="CK24" s="874"/>
      <c r="CL24" s="874"/>
      <c r="CM24" s="874"/>
      <c r="CN24" s="874"/>
      <c r="CO24" s="874"/>
      <c r="CP24" s="874"/>
      <c r="CQ24" s="874"/>
      <c r="CR24" s="874"/>
      <c r="CS24" s="874"/>
      <c r="CT24" s="874"/>
      <c r="CU24" s="874"/>
      <c r="CV24" s="874"/>
      <c r="CW24" s="874"/>
      <c r="CX24" s="874"/>
      <c r="CY24" s="874"/>
      <c r="CZ24" s="874"/>
      <c r="DA24" s="874"/>
      <c r="DB24" s="874"/>
      <c r="DC24" s="874"/>
      <c r="DD24" s="874"/>
      <c r="DE24" s="874"/>
      <c r="DF24" s="874"/>
      <c r="DG24" s="874"/>
      <c r="DH24" s="874"/>
      <c r="DI24" s="874"/>
      <c r="DJ24" s="874"/>
      <c r="DK24" s="874"/>
      <c r="DL24" s="874"/>
      <c r="DM24" s="874"/>
      <c r="DN24" s="874"/>
      <c r="DO24" s="874"/>
      <c r="DP24" s="874"/>
      <c r="DQ24" s="874"/>
      <c r="DR24" s="874"/>
      <c r="DS24" s="874"/>
      <c r="DT24" s="874"/>
      <c r="DU24" s="874"/>
      <c r="DV24" s="874"/>
      <c r="DW24" s="874"/>
      <c r="DX24" s="874"/>
      <c r="DY24" s="874"/>
      <c r="DZ24" s="874"/>
      <c r="EA24" s="874"/>
    </row>
    <row r="25" spans="1:131" ht="20.25" hidden="1">
      <c r="A25" s="897" t="s">
        <v>705</v>
      </c>
      <c r="B25" s="884"/>
      <c r="C25" s="885"/>
      <c r="D25" s="885">
        <f t="shared" si="10"/>
        <v>0</v>
      </c>
      <c r="E25" s="885">
        <f t="shared" si="10"/>
        <v>0</v>
      </c>
      <c r="F25" s="886">
        <f t="shared" si="0"/>
        <v>0</v>
      </c>
      <c r="G25" s="884"/>
      <c r="H25" s="885"/>
      <c r="I25" s="885">
        <f t="shared" si="11"/>
        <v>0</v>
      </c>
      <c r="J25" s="885">
        <f t="shared" si="11"/>
        <v>0</v>
      </c>
      <c r="K25" s="886">
        <f t="shared" si="1"/>
        <v>0</v>
      </c>
      <c r="L25" s="884"/>
      <c r="M25" s="885"/>
      <c r="N25" s="885">
        <f t="shared" si="12"/>
        <v>0</v>
      </c>
      <c r="O25" s="885">
        <f t="shared" si="12"/>
        <v>0</v>
      </c>
      <c r="P25" s="887">
        <f t="shared" si="2"/>
        <v>0</v>
      </c>
      <c r="Q25" s="888"/>
      <c r="R25" s="885">
        <f t="shared" si="3"/>
        <v>0</v>
      </c>
      <c r="S25" s="889">
        <f t="shared" si="3"/>
        <v>0</v>
      </c>
      <c r="T25" s="888"/>
      <c r="U25" s="885">
        <f t="shared" si="3"/>
        <v>0</v>
      </c>
      <c r="V25" s="889">
        <f t="shared" si="3"/>
        <v>0</v>
      </c>
      <c r="W25" s="884"/>
      <c r="X25" s="885"/>
      <c r="Y25" s="885">
        <f t="shared" si="13"/>
        <v>0</v>
      </c>
      <c r="Z25" s="885">
        <f t="shared" si="13"/>
        <v>0</v>
      </c>
      <c r="AA25" s="886">
        <f t="shared" si="4"/>
        <v>0</v>
      </c>
      <c r="AB25" s="884"/>
      <c r="AC25" s="885"/>
      <c r="AD25" s="885">
        <f t="shared" si="14"/>
        <v>0</v>
      </c>
      <c r="AE25" s="885">
        <f t="shared" si="14"/>
        <v>0</v>
      </c>
      <c r="AF25" s="886">
        <f t="shared" si="5"/>
        <v>0</v>
      </c>
      <c r="AG25" s="888"/>
      <c r="AH25" s="885">
        <f t="shared" si="6"/>
        <v>0</v>
      </c>
      <c r="AI25" s="889">
        <f t="shared" si="6"/>
        <v>0</v>
      </c>
      <c r="AJ25" s="888"/>
      <c r="AK25" s="885">
        <f t="shared" si="6"/>
        <v>0</v>
      </c>
      <c r="AL25" s="889">
        <f t="shared" si="6"/>
        <v>0</v>
      </c>
      <c r="AM25" s="888"/>
      <c r="AN25" s="885">
        <f t="shared" si="6"/>
        <v>0</v>
      </c>
      <c r="AO25" s="889">
        <f t="shared" si="6"/>
        <v>0</v>
      </c>
      <c r="AP25" s="888"/>
      <c r="AQ25" s="885">
        <f t="shared" si="6"/>
        <v>0</v>
      </c>
      <c r="AR25" s="889">
        <f t="shared" si="6"/>
        <v>0</v>
      </c>
      <c r="AS25" s="890"/>
      <c r="AT25" s="874"/>
      <c r="AU25" s="884"/>
      <c r="AV25" s="885"/>
      <c r="AW25" s="885">
        <f t="shared" si="15"/>
        <v>0</v>
      </c>
      <c r="AX25" s="885">
        <f t="shared" si="15"/>
        <v>0</v>
      </c>
      <c r="AY25" s="891"/>
      <c r="AZ25" s="892"/>
      <c r="BA25" s="892">
        <f t="shared" si="16"/>
        <v>0</v>
      </c>
      <c r="BB25" s="892">
        <f t="shared" si="16"/>
        <v>0</v>
      </c>
      <c r="BC25" s="884"/>
      <c r="BD25" s="885"/>
      <c r="BE25" s="885">
        <f t="shared" si="17"/>
        <v>0</v>
      </c>
      <c r="BF25" s="885">
        <f t="shared" si="17"/>
        <v>0</v>
      </c>
      <c r="BG25" s="893">
        <f t="shared" si="7"/>
        <v>0</v>
      </c>
      <c r="BH25" s="892">
        <f t="shared" si="8"/>
        <v>0</v>
      </c>
      <c r="BI25" s="894">
        <f t="shared" si="9"/>
        <v>0</v>
      </c>
      <c r="BJ25" s="895"/>
      <c r="BK25" s="874"/>
      <c r="BL25" s="884"/>
      <c r="BM25" s="885"/>
      <c r="BN25" s="885">
        <f t="shared" si="18"/>
        <v>0</v>
      </c>
      <c r="BO25" s="885">
        <f t="shared" si="18"/>
        <v>0</v>
      </c>
      <c r="BP25" s="884"/>
      <c r="BQ25" s="885"/>
      <c r="BR25" s="892">
        <f t="shared" si="19"/>
        <v>0</v>
      </c>
      <c r="BS25" s="894">
        <f t="shared" si="19"/>
        <v>0</v>
      </c>
      <c r="BT25" s="874"/>
      <c r="BU25" s="884"/>
      <c r="BV25" s="885"/>
      <c r="BW25" s="885">
        <f t="shared" si="20"/>
        <v>0</v>
      </c>
      <c r="BX25" s="885">
        <f t="shared" si="20"/>
        <v>0</v>
      </c>
      <c r="BY25" s="891"/>
      <c r="BZ25" s="892"/>
      <c r="CA25" s="892">
        <f t="shared" si="21"/>
        <v>0</v>
      </c>
      <c r="CB25" s="894">
        <f t="shared" si="21"/>
        <v>0</v>
      </c>
      <c r="CC25" s="874"/>
      <c r="CD25" s="874"/>
      <c r="CE25" s="874"/>
      <c r="CF25" s="874"/>
      <c r="CG25" s="874"/>
      <c r="CH25" s="874"/>
      <c r="CI25" s="874"/>
      <c r="CJ25" s="874"/>
      <c r="CK25" s="874"/>
      <c r="CL25" s="874"/>
      <c r="CM25" s="874"/>
      <c r="CN25" s="874"/>
      <c r="CO25" s="874"/>
      <c r="CP25" s="874"/>
      <c r="CQ25" s="874"/>
      <c r="CR25" s="874"/>
      <c r="CS25" s="874"/>
      <c r="CT25" s="874"/>
      <c r="CU25" s="874"/>
      <c r="CV25" s="874"/>
      <c r="CW25" s="874"/>
      <c r="CX25" s="874"/>
      <c r="CY25" s="874"/>
      <c r="CZ25" s="874"/>
      <c r="DA25" s="874"/>
      <c r="DB25" s="874"/>
      <c r="DC25" s="874"/>
      <c r="DD25" s="874"/>
      <c r="DE25" s="874"/>
      <c r="DF25" s="874"/>
      <c r="DG25" s="874"/>
      <c r="DH25" s="874"/>
      <c r="DI25" s="874"/>
      <c r="DJ25" s="874"/>
      <c r="DK25" s="874"/>
      <c r="DL25" s="874"/>
      <c r="DM25" s="874"/>
      <c r="DN25" s="874"/>
      <c r="DO25" s="874"/>
      <c r="DP25" s="874"/>
      <c r="DQ25" s="874"/>
      <c r="DR25" s="874"/>
      <c r="DS25" s="874"/>
      <c r="DT25" s="874"/>
      <c r="DU25" s="874"/>
      <c r="DV25" s="874"/>
      <c r="DW25" s="874"/>
      <c r="DX25" s="874"/>
      <c r="DY25" s="874"/>
      <c r="DZ25" s="874"/>
      <c r="EA25" s="874"/>
    </row>
    <row r="26" spans="1:131" ht="20.25" hidden="1">
      <c r="A26" s="896" t="s">
        <v>706</v>
      </c>
      <c r="B26" s="884"/>
      <c r="C26" s="898">
        <f>C35+C151</f>
        <v>1182917</v>
      </c>
      <c r="D26" s="899"/>
      <c r="E26" s="899"/>
      <c r="F26" s="900"/>
      <c r="G26" s="884"/>
      <c r="H26" s="885">
        <f>H35+H151</f>
        <v>1292800</v>
      </c>
      <c r="I26" s="899"/>
      <c r="J26" s="899"/>
      <c r="K26" s="900"/>
      <c r="L26" s="884"/>
      <c r="M26" s="885">
        <f>M35+M151</f>
        <v>1292800</v>
      </c>
      <c r="N26" s="899"/>
      <c r="O26" s="899"/>
      <c r="P26" s="901"/>
      <c r="Q26" s="888">
        <f>Q35+Q151</f>
        <v>0</v>
      </c>
      <c r="R26" s="899"/>
      <c r="S26" s="902"/>
      <c r="T26" s="888">
        <f>T35+T151</f>
        <v>0</v>
      </c>
      <c r="U26" s="899"/>
      <c r="V26" s="902"/>
      <c r="W26" s="884"/>
      <c r="X26" s="885">
        <f>X35+X151</f>
        <v>1292800</v>
      </c>
      <c r="Y26" s="899"/>
      <c r="Z26" s="899"/>
      <c r="AA26" s="900"/>
      <c r="AB26" s="884"/>
      <c r="AC26" s="885">
        <f>AC35+AC151</f>
        <v>1405200</v>
      </c>
      <c r="AD26" s="899"/>
      <c r="AE26" s="899"/>
      <c r="AF26" s="900"/>
      <c r="AG26" s="888">
        <f>AG35+AG151</f>
        <v>112400</v>
      </c>
      <c r="AH26" s="899"/>
      <c r="AI26" s="902"/>
      <c r="AJ26" s="888">
        <f>AJ35+AJ151</f>
        <v>0</v>
      </c>
      <c r="AK26" s="899"/>
      <c r="AL26" s="902"/>
      <c r="AM26" s="888">
        <f>AM35+AM151</f>
        <v>0</v>
      </c>
      <c r="AN26" s="899"/>
      <c r="AO26" s="902"/>
      <c r="AP26" s="888">
        <f>AP35+AP151</f>
        <v>0</v>
      </c>
      <c r="AQ26" s="899"/>
      <c r="AR26" s="902"/>
      <c r="AS26" s="903"/>
      <c r="AT26" s="874"/>
      <c r="AU26" s="884"/>
      <c r="AV26" s="885">
        <f>AV35+AV151</f>
        <v>112400</v>
      </c>
      <c r="AW26" s="899"/>
      <c r="AX26" s="899"/>
      <c r="AY26" s="891"/>
      <c r="AZ26" s="892">
        <f>IF(M26=0,0,AC26/M26*100)</f>
        <v>108.69430693069306</v>
      </c>
      <c r="BA26" s="904"/>
      <c r="BB26" s="904"/>
      <c r="BC26" s="884"/>
      <c r="BD26" s="885">
        <f>BD35+BD151</f>
        <v>0</v>
      </c>
      <c r="BE26" s="899"/>
      <c r="BF26" s="899"/>
      <c r="BG26" s="884"/>
      <c r="BH26" s="899"/>
      <c r="BI26" s="902"/>
      <c r="BJ26" s="905"/>
      <c r="BK26" s="874"/>
      <c r="BL26" s="884"/>
      <c r="BM26" s="885">
        <f>BM35+BM151</f>
        <v>112400</v>
      </c>
      <c r="BN26" s="899"/>
      <c r="BO26" s="899"/>
      <c r="BP26" s="884"/>
      <c r="BQ26" s="892">
        <f>IF(X26=0,0,AC26/X26*100)</f>
        <v>108.69430693069306</v>
      </c>
      <c r="BR26" s="899"/>
      <c r="BS26" s="902"/>
      <c r="BT26" s="874"/>
      <c r="BU26" s="884"/>
      <c r="BV26" s="885">
        <f>BV35+BV151</f>
        <v>222283</v>
      </c>
      <c r="BW26" s="899"/>
      <c r="BX26" s="899"/>
      <c r="BY26" s="891"/>
      <c r="BZ26" s="892">
        <f>IF(C26=0,0,AC26/C26*100)</f>
        <v>118.79109016101721</v>
      </c>
      <c r="CA26" s="904"/>
      <c r="CB26" s="906"/>
      <c r="CC26" s="874"/>
      <c r="CD26" s="874"/>
      <c r="CE26" s="874"/>
      <c r="CF26" s="874"/>
      <c r="CG26" s="874"/>
      <c r="CH26" s="874"/>
      <c r="CI26" s="874"/>
      <c r="CJ26" s="874"/>
      <c r="CK26" s="874"/>
      <c r="CL26" s="874"/>
      <c r="CM26" s="874"/>
      <c r="CN26" s="874"/>
      <c r="CO26" s="874"/>
      <c r="CP26" s="874"/>
      <c r="CQ26" s="874"/>
      <c r="CR26" s="874"/>
      <c r="CS26" s="874"/>
      <c r="CT26" s="874"/>
      <c r="CU26" s="874"/>
      <c r="CV26" s="874"/>
      <c r="CW26" s="874"/>
      <c r="CX26" s="874"/>
      <c r="CY26" s="874"/>
      <c r="CZ26" s="874"/>
      <c r="DA26" s="874"/>
      <c r="DB26" s="874"/>
      <c r="DC26" s="874"/>
      <c r="DD26" s="874"/>
      <c r="DE26" s="874"/>
      <c r="DF26" s="874"/>
      <c r="DG26" s="874"/>
      <c r="DH26" s="874"/>
      <c r="DI26" s="874"/>
      <c r="DJ26" s="874"/>
      <c r="DK26" s="874"/>
      <c r="DL26" s="874"/>
      <c r="DM26" s="874"/>
      <c r="DN26" s="874"/>
      <c r="DO26" s="874"/>
      <c r="DP26" s="874"/>
      <c r="DQ26" s="874"/>
      <c r="DR26" s="874"/>
      <c r="DS26" s="874"/>
      <c r="DT26" s="874"/>
      <c r="DU26" s="874"/>
      <c r="DV26" s="874"/>
      <c r="DW26" s="874"/>
      <c r="DX26" s="874"/>
      <c r="DY26" s="874"/>
      <c r="DZ26" s="874"/>
      <c r="EA26" s="874"/>
    </row>
    <row r="27" spans="1:131" ht="20.25">
      <c r="A27" s="883" t="s">
        <v>534</v>
      </c>
      <c r="B27" s="884"/>
      <c r="C27" s="899"/>
      <c r="D27" s="899"/>
      <c r="E27" s="899"/>
      <c r="F27" s="902"/>
      <c r="G27" s="884"/>
      <c r="H27" s="899"/>
      <c r="I27" s="899"/>
      <c r="J27" s="899"/>
      <c r="K27" s="902"/>
      <c r="L27" s="884"/>
      <c r="M27" s="899"/>
      <c r="N27" s="899"/>
      <c r="O27" s="899"/>
      <c r="P27" s="907"/>
      <c r="Q27" s="884"/>
      <c r="R27" s="899"/>
      <c r="S27" s="902"/>
      <c r="T27" s="884"/>
      <c r="U27" s="899"/>
      <c r="V27" s="902"/>
      <c r="W27" s="884"/>
      <c r="X27" s="899"/>
      <c r="Y27" s="899"/>
      <c r="Z27" s="899"/>
      <c r="AA27" s="902"/>
      <c r="AB27" s="884"/>
      <c r="AC27" s="899"/>
      <c r="AD27" s="899"/>
      <c r="AE27" s="899"/>
      <c r="AF27" s="902"/>
      <c r="AG27" s="884"/>
      <c r="AH27" s="899"/>
      <c r="AI27" s="902"/>
      <c r="AJ27" s="884"/>
      <c r="AK27" s="899"/>
      <c r="AL27" s="902"/>
      <c r="AM27" s="884"/>
      <c r="AN27" s="899"/>
      <c r="AO27" s="902"/>
      <c r="AP27" s="884"/>
      <c r="AQ27" s="899"/>
      <c r="AR27" s="902"/>
      <c r="AS27" s="903"/>
      <c r="AT27" s="874"/>
      <c r="AU27" s="884"/>
      <c r="AV27" s="899"/>
      <c r="AW27" s="899"/>
      <c r="AX27" s="899"/>
      <c r="AY27" s="891"/>
      <c r="AZ27" s="904"/>
      <c r="BA27" s="904"/>
      <c r="BB27" s="904"/>
      <c r="BC27" s="884"/>
      <c r="BD27" s="899"/>
      <c r="BE27" s="899"/>
      <c r="BF27" s="899"/>
      <c r="BG27" s="884"/>
      <c r="BH27" s="899"/>
      <c r="BI27" s="902"/>
      <c r="BJ27" s="905"/>
      <c r="BK27" s="874"/>
      <c r="BL27" s="884"/>
      <c r="BM27" s="899"/>
      <c r="BN27" s="899"/>
      <c r="BO27" s="899"/>
      <c r="BP27" s="884"/>
      <c r="BQ27" s="899"/>
      <c r="BR27" s="899"/>
      <c r="BS27" s="902"/>
      <c r="BT27" s="874"/>
      <c r="BU27" s="884"/>
      <c r="BV27" s="899"/>
      <c r="BW27" s="899"/>
      <c r="BX27" s="899"/>
      <c r="BY27" s="891"/>
      <c r="BZ27" s="904"/>
      <c r="CA27" s="904"/>
      <c r="CB27" s="906"/>
      <c r="CC27" s="874"/>
      <c r="CD27" s="874"/>
      <c r="CE27" s="874"/>
      <c r="CF27" s="874"/>
      <c r="CG27" s="874"/>
      <c r="CH27" s="874"/>
      <c r="CI27" s="874"/>
      <c r="CJ27" s="874"/>
      <c r="CK27" s="874"/>
      <c r="CL27" s="874"/>
      <c r="CM27" s="874"/>
      <c r="CN27" s="874"/>
      <c r="CO27" s="874"/>
      <c r="CP27" s="874"/>
      <c r="CQ27" s="874"/>
      <c r="CR27" s="874"/>
      <c r="CS27" s="874"/>
      <c r="CT27" s="874"/>
      <c r="CU27" s="874"/>
      <c r="CV27" s="874"/>
      <c r="CW27" s="874"/>
      <c r="CX27" s="874"/>
      <c r="CY27" s="874"/>
      <c r="CZ27" s="874"/>
      <c r="DA27" s="874"/>
      <c r="DB27" s="874"/>
      <c r="DC27" s="874"/>
      <c r="DD27" s="874"/>
      <c r="DE27" s="874"/>
      <c r="DF27" s="874"/>
      <c r="DG27" s="874"/>
      <c r="DH27" s="874"/>
      <c r="DI27" s="874"/>
      <c r="DJ27" s="874"/>
      <c r="DK27" s="874"/>
      <c r="DL27" s="874"/>
      <c r="DM27" s="874"/>
      <c r="DN27" s="874"/>
      <c r="DO27" s="874"/>
      <c r="DP27" s="874"/>
      <c r="DQ27" s="874"/>
      <c r="DR27" s="874"/>
      <c r="DS27" s="874"/>
      <c r="DT27" s="874"/>
      <c r="DU27" s="874"/>
      <c r="DV27" s="874"/>
      <c r="DW27" s="874"/>
      <c r="DX27" s="874"/>
      <c r="DY27" s="874"/>
      <c r="DZ27" s="874"/>
      <c r="EA27" s="874"/>
    </row>
    <row r="28" spans="1:131" s="882" customFormat="1" ht="27.75" customHeight="1">
      <c r="A28" s="908" t="s">
        <v>707</v>
      </c>
      <c r="B28" s="888">
        <f>C28+D28</f>
        <v>22898663289</v>
      </c>
      <c r="C28" s="885">
        <f>C37+C45+C110</f>
        <v>269114353</v>
      </c>
      <c r="D28" s="885">
        <f>D37+D45+D110</f>
        <v>22629548936</v>
      </c>
      <c r="E28" s="885">
        <f>E37+E45+E110</f>
        <v>61445</v>
      </c>
      <c r="F28" s="886">
        <f t="shared" ref="F28:F34" si="22">IF(E28=0,0,ROUND(D28/E28/12,0))</f>
        <v>30691</v>
      </c>
      <c r="G28" s="888">
        <f>H28+I28</f>
        <v>23769643524</v>
      </c>
      <c r="H28" s="885">
        <f>H37+H45+H110</f>
        <v>262163518</v>
      </c>
      <c r="I28" s="885">
        <f>I37+I45+I110</f>
        <v>23507480006</v>
      </c>
      <c r="J28" s="885">
        <f>J37+J45+J110</f>
        <v>63222</v>
      </c>
      <c r="K28" s="886">
        <f t="shared" ref="K28:K34" si="23">IF(J28=0,0,ROUND(I28/J28/12,0))</f>
        <v>30985</v>
      </c>
      <c r="L28" s="888">
        <f>M28+N28</f>
        <v>24194489269</v>
      </c>
      <c r="M28" s="885">
        <f>M37+M45+M110</f>
        <v>280961421</v>
      </c>
      <c r="N28" s="885">
        <f>N37+N45+N110</f>
        <v>23913527848</v>
      </c>
      <c r="O28" s="885">
        <f>O37+O45+O110</f>
        <v>63707</v>
      </c>
      <c r="P28" s="887">
        <f t="shared" ref="P28:P34" si="24">IF(O28=0,0,ROUND(N28/O28/12,0))</f>
        <v>31281</v>
      </c>
      <c r="Q28" s="888">
        <f t="shared" ref="Q28:V34" si="25">Q37+Q45+Q110</f>
        <v>31056574.970000003</v>
      </c>
      <c r="R28" s="885">
        <f t="shared" si="25"/>
        <v>311293595.75</v>
      </c>
      <c r="S28" s="889">
        <f t="shared" si="25"/>
        <v>89</v>
      </c>
      <c r="T28" s="888">
        <f t="shared" si="25"/>
        <v>0</v>
      </c>
      <c r="U28" s="885">
        <f t="shared" si="25"/>
        <v>0</v>
      </c>
      <c r="V28" s="889">
        <f t="shared" si="25"/>
        <v>0</v>
      </c>
      <c r="W28" s="888">
        <f>X28+Y28</f>
        <v>24536839439.720001</v>
      </c>
      <c r="X28" s="885">
        <f>X37+X45+X110</f>
        <v>312017995.97000003</v>
      </c>
      <c r="Y28" s="885">
        <f>Y37+Y45+Y110</f>
        <v>24224821443.75</v>
      </c>
      <c r="Z28" s="885">
        <f>Z37+Z45+Z110</f>
        <v>63796</v>
      </c>
      <c r="AA28" s="886">
        <f t="shared" ref="AA28:AA34" si="26">IF(Z28=0,0,ROUND(Y28/Z28/12,0))</f>
        <v>31644</v>
      </c>
      <c r="AB28" s="888">
        <f>AC28+AD28</f>
        <v>24381204996.859997</v>
      </c>
      <c r="AC28" s="885">
        <f>AC37+AC45+AC110</f>
        <v>289957950.44</v>
      </c>
      <c r="AD28" s="885">
        <f>AD37+AD45+AD110</f>
        <v>24091247046.419998</v>
      </c>
      <c r="AE28" s="885">
        <f>AE37+AE45+AE110</f>
        <v>62238</v>
      </c>
      <c r="AF28" s="886">
        <f t="shared" ref="AF28:AF34" si="27">IF(AE28=0,0,ROUND(AD28/AE28/12,0))</f>
        <v>32257</v>
      </c>
      <c r="AG28" s="888">
        <f t="shared" ref="AG28:AR34" si="28">AG37+AG45+AG110</f>
        <v>22888967.449999999</v>
      </c>
      <c r="AH28" s="885">
        <f t="shared" si="28"/>
        <v>256458755.72000003</v>
      </c>
      <c r="AI28" s="889">
        <f t="shared" si="28"/>
        <v>82</v>
      </c>
      <c r="AJ28" s="888">
        <f t="shared" si="28"/>
        <v>7485446</v>
      </c>
      <c r="AK28" s="885">
        <f t="shared" si="28"/>
        <v>2671500</v>
      </c>
      <c r="AL28" s="889">
        <f t="shared" si="28"/>
        <v>0</v>
      </c>
      <c r="AM28" s="888">
        <f t="shared" si="28"/>
        <v>2188357</v>
      </c>
      <c r="AN28" s="885">
        <f t="shared" si="28"/>
        <v>15194380.100000001</v>
      </c>
      <c r="AO28" s="889">
        <f t="shared" si="28"/>
        <v>0</v>
      </c>
      <c r="AP28" s="888">
        <f t="shared" si="28"/>
        <v>0</v>
      </c>
      <c r="AQ28" s="885">
        <f t="shared" si="28"/>
        <v>0</v>
      </c>
      <c r="AR28" s="889">
        <f t="shared" si="28"/>
        <v>0</v>
      </c>
      <c r="AS28" s="890"/>
      <c r="AT28" s="874"/>
      <c r="AU28" s="888">
        <f>AV28+AW28</f>
        <v>186715727.85999942</v>
      </c>
      <c r="AV28" s="885">
        <f>AV37+AV45+AV110</f>
        <v>8996529.4399999976</v>
      </c>
      <c r="AW28" s="885">
        <f>AW37+AW45+AW110</f>
        <v>177719198.41999942</v>
      </c>
      <c r="AX28" s="885">
        <f>AX37+AX45+AX110</f>
        <v>-1469</v>
      </c>
      <c r="AY28" s="893">
        <f>IF(L28=0,0,AB28/L28*100)</f>
        <v>100.77172832947225</v>
      </c>
      <c r="AZ28" s="892">
        <f>IF(M28=0,0,AC28/M28*100)</f>
        <v>103.20205151582003</v>
      </c>
      <c r="BA28" s="892">
        <f>IF(N28=0,0,AD28/N28*100)</f>
        <v>100.74317432187181</v>
      </c>
      <c r="BB28" s="892">
        <f>IF(O28=0,0,AE28/O28*100)</f>
        <v>97.694130943224451</v>
      </c>
      <c r="BC28" s="888">
        <f>BD28+BE28</f>
        <v>-120171678.41000059</v>
      </c>
      <c r="BD28" s="885">
        <f>BD37+BD45+BD110</f>
        <v>-23566241.010000002</v>
      </c>
      <c r="BE28" s="885">
        <f>BE37+BE45+BE110</f>
        <v>-96605437.400000587</v>
      </c>
      <c r="BF28" s="885">
        <f>BF37+BF45+BF110</f>
        <v>-1551</v>
      </c>
      <c r="BG28" s="893">
        <f t="shared" ref="BG28:BG34" si="29">IF(F28=0,0,AF28/F28*100)</f>
        <v>105.10247303769835</v>
      </c>
      <c r="BH28" s="892">
        <f t="shared" ref="BH28:BH34" si="30">IF(K28=0,0,AF28/K28*100)</f>
        <v>104.10521219945134</v>
      </c>
      <c r="BI28" s="894">
        <f t="shared" ref="BI28:BI34" si="31">IF(P28=0,0,AF28/P28*100)</f>
        <v>103.12010485598286</v>
      </c>
      <c r="BJ28" s="895"/>
      <c r="BK28" s="874"/>
      <c r="BL28" s="888">
        <f>BM28+BN28</f>
        <v>-155634442.86000028</v>
      </c>
      <c r="BM28" s="885">
        <f>BM37+BM45+BM110</f>
        <v>-22060045.530000001</v>
      </c>
      <c r="BN28" s="885">
        <f>BN37+BN45+BN110</f>
        <v>-133574397.33000028</v>
      </c>
      <c r="BO28" s="885">
        <f>BO37+BO45+BO110</f>
        <v>-1558</v>
      </c>
      <c r="BP28" s="893">
        <f>IF(W28=0,0,AB28/W28*100)</f>
        <v>99.365711124929703</v>
      </c>
      <c r="BQ28" s="892">
        <f>IF(X28=0,0,AC28/X28*100)</f>
        <v>92.929880386732222</v>
      </c>
      <c r="BR28" s="892">
        <f>IF(Y28=0,0,AD28/Y28*100)</f>
        <v>99.448605234758233</v>
      </c>
      <c r="BS28" s="894">
        <f>IF(Z28=0,0,AE28/Z28*100)</f>
        <v>97.557840616966587</v>
      </c>
      <c r="BT28" s="874"/>
      <c r="BU28" s="888">
        <f>BV28+BW28</f>
        <v>1482541707.8599997</v>
      </c>
      <c r="BV28" s="885">
        <f>BV37+BV45+BV110</f>
        <v>20843597.439999998</v>
      </c>
      <c r="BW28" s="885">
        <f>BW37+BW45+BW110</f>
        <v>1461698110.4199996</v>
      </c>
      <c r="BX28" s="885">
        <f>BX37+BX45+BX110</f>
        <v>793</v>
      </c>
      <c r="BY28" s="893">
        <f>IF(B28=0,0,AB28/B28*100)</f>
        <v>106.47435917611914</v>
      </c>
      <c r="BZ28" s="892">
        <f>IF(C28=0,0,AC28/C28*100)</f>
        <v>107.7452566939081</v>
      </c>
      <c r="CA28" s="892">
        <f>IF(D28=0,0,AD28/D28*100)</f>
        <v>106.45924545183784</v>
      </c>
      <c r="CB28" s="894">
        <f>IF(E28=0,0,AE28/E28*100)</f>
        <v>101.29058507608431</v>
      </c>
      <c r="CC28" s="874"/>
      <c r="CD28" s="874"/>
      <c r="CE28" s="874"/>
      <c r="CF28" s="874"/>
      <c r="CG28" s="874"/>
      <c r="CH28" s="874"/>
      <c r="CI28" s="874"/>
      <c r="CJ28" s="874"/>
      <c r="CK28" s="874"/>
      <c r="CL28" s="874"/>
      <c r="CM28" s="874"/>
      <c r="CN28" s="874"/>
      <c r="CO28" s="874"/>
      <c r="CP28" s="874"/>
      <c r="CQ28" s="874"/>
      <c r="CR28" s="874"/>
      <c r="CS28" s="874"/>
      <c r="CT28" s="874"/>
      <c r="CU28" s="874"/>
      <c r="CV28" s="874"/>
      <c r="CW28" s="874"/>
      <c r="CX28" s="874"/>
      <c r="CY28" s="874"/>
      <c r="CZ28" s="874"/>
      <c r="DA28" s="874"/>
      <c r="DB28" s="874"/>
      <c r="DC28" s="874"/>
      <c r="DD28" s="874"/>
      <c r="DE28" s="874"/>
      <c r="DF28" s="874"/>
      <c r="DG28" s="874"/>
      <c r="DH28" s="874"/>
      <c r="DI28" s="874"/>
      <c r="DJ28" s="874"/>
      <c r="DK28" s="874"/>
      <c r="DL28" s="874"/>
      <c r="DM28" s="874"/>
      <c r="DN28" s="874"/>
      <c r="DO28" s="874"/>
      <c r="DP28" s="874"/>
      <c r="DQ28" s="874"/>
      <c r="DR28" s="874"/>
      <c r="DS28" s="874"/>
      <c r="DT28" s="874"/>
      <c r="DU28" s="874"/>
      <c r="DV28" s="874"/>
      <c r="DW28" s="874"/>
      <c r="DX28" s="874"/>
      <c r="DY28" s="874"/>
      <c r="DZ28" s="874"/>
      <c r="EA28" s="874"/>
    </row>
    <row r="29" spans="1:131" ht="20.25" hidden="1">
      <c r="A29" s="883" t="s">
        <v>700</v>
      </c>
      <c r="B29" s="884"/>
      <c r="C29" s="885"/>
      <c r="D29" s="885">
        <f t="shared" ref="D29:E34" si="32">D38+D46+D111</f>
        <v>3694730661</v>
      </c>
      <c r="E29" s="885">
        <f t="shared" si="32"/>
        <v>13408</v>
      </c>
      <c r="F29" s="886">
        <f t="shared" si="22"/>
        <v>22963</v>
      </c>
      <c r="G29" s="884"/>
      <c r="H29" s="885"/>
      <c r="I29" s="885">
        <f t="shared" ref="I29:J34" si="33">I38+I46+I111</f>
        <v>3337115628</v>
      </c>
      <c r="J29" s="885">
        <f t="shared" si="33"/>
        <v>12513</v>
      </c>
      <c r="K29" s="886">
        <f t="shared" si="23"/>
        <v>22224</v>
      </c>
      <c r="L29" s="884"/>
      <c r="M29" s="885"/>
      <c r="N29" s="885">
        <f t="shared" ref="N29:O34" si="34">N38+N46+N111</f>
        <v>3496034026</v>
      </c>
      <c r="O29" s="885">
        <f t="shared" si="34"/>
        <v>13023</v>
      </c>
      <c r="P29" s="887">
        <f t="shared" si="24"/>
        <v>22371</v>
      </c>
      <c r="Q29" s="888"/>
      <c r="R29" s="885">
        <f t="shared" si="25"/>
        <v>255161909.47999999</v>
      </c>
      <c r="S29" s="889">
        <f t="shared" si="25"/>
        <v>89</v>
      </c>
      <c r="T29" s="888"/>
      <c r="U29" s="885">
        <f t="shared" si="25"/>
        <v>0</v>
      </c>
      <c r="V29" s="889">
        <f t="shared" si="25"/>
        <v>0</v>
      </c>
      <c r="W29" s="884"/>
      <c r="X29" s="885"/>
      <c r="Y29" s="885">
        <f t="shared" ref="Y29:Z34" si="35">Y38+Y46+Y111</f>
        <v>3751195935.48</v>
      </c>
      <c r="Z29" s="885">
        <f t="shared" si="35"/>
        <v>13112</v>
      </c>
      <c r="AA29" s="886">
        <f t="shared" si="26"/>
        <v>23841</v>
      </c>
      <c r="AB29" s="884"/>
      <c r="AC29" s="885"/>
      <c r="AD29" s="885">
        <f t="shared" ref="AD29:AE34" si="36">AD38+AD46+AD111</f>
        <v>3704677913.6700001</v>
      </c>
      <c r="AE29" s="885">
        <f t="shared" si="36"/>
        <v>12863</v>
      </c>
      <c r="AF29" s="886">
        <f t="shared" si="27"/>
        <v>24001</v>
      </c>
      <c r="AG29" s="888"/>
      <c r="AH29" s="885">
        <f t="shared" si="28"/>
        <v>217268894.77000001</v>
      </c>
      <c r="AI29" s="889">
        <f t="shared" si="28"/>
        <v>82</v>
      </c>
      <c r="AJ29" s="888"/>
      <c r="AK29" s="885">
        <f t="shared" si="28"/>
        <v>1880000</v>
      </c>
      <c r="AL29" s="889">
        <f t="shared" si="28"/>
        <v>0</v>
      </c>
      <c r="AM29" s="888"/>
      <c r="AN29" s="885">
        <f t="shared" si="28"/>
        <v>2565.71</v>
      </c>
      <c r="AO29" s="889">
        <f t="shared" si="28"/>
        <v>0</v>
      </c>
      <c r="AP29" s="888"/>
      <c r="AQ29" s="885">
        <f t="shared" si="28"/>
        <v>0</v>
      </c>
      <c r="AR29" s="889">
        <f t="shared" si="28"/>
        <v>0</v>
      </c>
      <c r="AS29" s="890"/>
      <c r="AT29" s="874"/>
      <c r="AU29" s="884"/>
      <c r="AV29" s="885"/>
      <c r="AW29" s="885">
        <f t="shared" ref="AW29:AX34" si="37">AW38+AW46+AW111</f>
        <v>208643887.67000008</v>
      </c>
      <c r="AX29" s="885">
        <f t="shared" si="37"/>
        <v>-160</v>
      </c>
      <c r="AY29" s="891"/>
      <c r="AZ29" s="892"/>
      <c r="BA29" s="892">
        <f t="shared" ref="BA29:BB34" si="38">IF(N29=0,0,AD29/N29*100)</f>
        <v>105.96801650436798</v>
      </c>
      <c r="BB29" s="892">
        <f t="shared" si="38"/>
        <v>98.771404438301474</v>
      </c>
      <c r="BC29" s="884"/>
      <c r="BD29" s="885"/>
      <c r="BE29" s="885">
        <f t="shared" ref="BE29:BF34" si="39">BE38+BE46+BE111</f>
        <v>-10507572.809999932</v>
      </c>
      <c r="BF29" s="885">
        <f t="shared" si="39"/>
        <v>-242</v>
      </c>
      <c r="BG29" s="893">
        <f t="shared" si="29"/>
        <v>104.52031528981405</v>
      </c>
      <c r="BH29" s="892">
        <f t="shared" si="30"/>
        <v>107.9958603311735</v>
      </c>
      <c r="BI29" s="894">
        <f t="shared" si="31"/>
        <v>107.28621876536589</v>
      </c>
      <c r="BJ29" s="895"/>
      <c r="BK29" s="874"/>
      <c r="BL29" s="884"/>
      <c r="BM29" s="885"/>
      <c r="BN29" s="885">
        <f t="shared" ref="BN29:BO34" si="40">BN38+BN46+BN111</f>
        <v>-46518021.809999764</v>
      </c>
      <c r="BO29" s="885">
        <f t="shared" si="40"/>
        <v>-249</v>
      </c>
      <c r="BP29" s="884"/>
      <c r="BQ29" s="885"/>
      <c r="BR29" s="892">
        <f t="shared" ref="BR29:BS34" si="41">IF(Y29=0,0,AD29/Y29*100)</f>
        <v>98.759914901537996</v>
      </c>
      <c r="BS29" s="894">
        <f t="shared" si="41"/>
        <v>98.10097620500305</v>
      </c>
      <c r="BT29" s="874"/>
      <c r="BU29" s="884"/>
      <c r="BV29" s="885"/>
      <c r="BW29" s="885">
        <f t="shared" ref="BW29:BX34" si="42">BW38+BW46+BW111</f>
        <v>9947252.6700000763</v>
      </c>
      <c r="BX29" s="885">
        <f t="shared" si="42"/>
        <v>-545</v>
      </c>
      <c r="BY29" s="891"/>
      <c r="BZ29" s="892"/>
      <c r="CA29" s="892">
        <f t="shared" ref="CA29:CB34" si="43">IF(D29=0,0,AD29/D29*100)</f>
        <v>100.2692280867723</v>
      </c>
      <c r="CB29" s="894">
        <f t="shared" si="43"/>
        <v>95.935262529832926</v>
      </c>
      <c r="CC29" s="874"/>
      <c r="CD29" s="874"/>
      <c r="CE29" s="874"/>
      <c r="CF29" s="874"/>
      <c r="CG29" s="874"/>
      <c r="CH29" s="874"/>
      <c r="CI29" s="874"/>
      <c r="CJ29" s="874"/>
      <c r="CK29" s="874"/>
      <c r="CL29" s="874"/>
      <c r="CM29" s="874"/>
      <c r="CN29" s="874"/>
      <c r="CO29" s="874"/>
      <c r="CP29" s="874"/>
      <c r="CQ29" s="874"/>
      <c r="CR29" s="874"/>
      <c r="CS29" s="874"/>
      <c r="CT29" s="874"/>
      <c r="CU29" s="874"/>
      <c r="CV29" s="874"/>
      <c r="CW29" s="874"/>
      <c r="CX29" s="874"/>
      <c r="CY29" s="874"/>
      <c r="CZ29" s="874"/>
      <c r="DA29" s="874"/>
      <c r="DB29" s="874"/>
      <c r="DC29" s="874"/>
      <c r="DD29" s="874"/>
      <c r="DE29" s="874"/>
      <c r="DF29" s="874"/>
      <c r="DG29" s="874"/>
      <c r="DH29" s="874"/>
      <c r="DI29" s="874"/>
      <c r="DJ29" s="874"/>
      <c r="DK29" s="874"/>
      <c r="DL29" s="874"/>
      <c r="DM29" s="874"/>
      <c r="DN29" s="874"/>
      <c r="DO29" s="874"/>
      <c r="DP29" s="874"/>
      <c r="DQ29" s="874"/>
      <c r="DR29" s="874"/>
      <c r="DS29" s="874"/>
      <c r="DT29" s="874"/>
      <c r="DU29" s="874"/>
      <c r="DV29" s="874"/>
      <c r="DW29" s="874"/>
      <c r="DX29" s="874"/>
      <c r="DY29" s="874"/>
      <c r="DZ29" s="874"/>
      <c r="EA29" s="874"/>
    </row>
    <row r="30" spans="1:131" ht="20.25" hidden="1">
      <c r="A30" s="896" t="s">
        <v>701</v>
      </c>
      <c r="B30" s="884"/>
      <c r="C30" s="885"/>
      <c r="D30" s="885">
        <f t="shared" si="32"/>
        <v>18934818275</v>
      </c>
      <c r="E30" s="885">
        <f t="shared" si="32"/>
        <v>48037</v>
      </c>
      <c r="F30" s="886">
        <f t="shared" si="22"/>
        <v>32848</v>
      </c>
      <c r="G30" s="884"/>
      <c r="H30" s="885"/>
      <c r="I30" s="885">
        <f t="shared" si="33"/>
        <v>19703523750</v>
      </c>
      <c r="J30" s="885">
        <f t="shared" si="33"/>
        <v>49481</v>
      </c>
      <c r="K30" s="886">
        <f t="shared" si="23"/>
        <v>33184</v>
      </c>
      <c r="L30" s="884"/>
      <c r="M30" s="885"/>
      <c r="N30" s="885">
        <f t="shared" si="34"/>
        <v>20039975145</v>
      </c>
      <c r="O30" s="885">
        <f t="shared" si="34"/>
        <v>49836</v>
      </c>
      <c r="P30" s="887">
        <f t="shared" si="24"/>
        <v>33510</v>
      </c>
      <c r="Q30" s="888"/>
      <c r="R30" s="885">
        <f t="shared" si="25"/>
        <v>48576384.640000001</v>
      </c>
      <c r="S30" s="889">
        <f t="shared" si="25"/>
        <v>0</v>
      </c>
      <c r="T30" s="888"/>
      <c r="U30" s="885">
        <f t="shared" si="25"/>
        <v>0</v>
      </c>
      <c r="V30" s="889">
        <f t="shared" si="25"/>
        <v>0</v>
      </c>
      <c r="W30" s="884"/>
      <c r="X30" s="885"/>
      <c r="Y30" s="885">
        <f t="shared" si="35"/>
        <v>20088551529.639999</v>
      </c>
      <c r="Z30" s="885">
        <f t="shared" si="35"/>
        <v>49836</v>
      </c>
      <c r="AA30" s="886">
        <f t="shared" si="26"/>
        <v>33591</v>
      </c>
      <c r="AB30" s="884"/>
      <c r="AC30" s="885"/>
      <c r="AD30" s="885">
        <f t="shared" si="36"/>
        <v>20068079270.43</v>
      </c>
      <c r="AE30" s="885">
        <f t="shared" si="36"/>
        <v>48675</v>
      </c>
      <c r="AF30" s="886">
        <f t="shared" si="27"/>
        <v>34357</v>
      </c>
      <c r="AG30" s="888"/>
      <c r="AH30" s="885">
        <f t="shared" si="28"/>
        <v>33384399.25</v>
      </c>
      <c r="AI30" s="889">
        <f t="shared" si="28"/>
        <v>0</v>
      </c>
      <c r="AJ30" s="888"/>
      <c r="AK30" s="885">
        <f t="shared" si="28"/>
        <v>791500</v>
      </c>
      <c r="AL30" s="889">
        <f t="shared" si="28"/>
        <v>0</v>
      </c>
      <c r="AM30" s="888"/>
      <c r="AN30" s="885">
        <f t="shared" si="28"/>
        <v>15191814.390000001</v>
      </c>
      <c r="AO30" s="889">
        <f t="shared" si="28"/>
        <v>0</v>
      </c>
      <c r="AP30" s="888"/>
      <c r="AQ30" s="885">
        <f t="shared" si="28"/>
        <v>0</v>
      </c>
      <c r="AR30" s="889">
        <f t="shared" si="28"/>
        <v>0</v>
      </c>
      <c r="AS30" s="890"/>
      <c r="AT30" s="874"/>
      <c r="AU30" s="884"/>
      <c r="AV30" s="885"/>
      <c r="AW30" s="885">
        <f t="shared" si="37"/>
        <v>28104125.429999352</v>
      </c>
      <c r="AX30" s="885">
        <f t="shared" si="37"/>
        <v>-1161</v>
      </c>
      <c r="AY30" s="891"/>
      <c r="AZ30" s="892"/>
      <c r="BA30" s="892">
        <f t="shared" si="38"/>
        <v>100.14024032079207</v>
      </c>
      <c r="BB30" s="892">
        <f t="shared" si="38"/>
        <v>97.670358776787864</v>
      </c>
      <c r="BC30" s="884"/>
      <c r="BD30" s="885"/>
      <c r="BE30" s="885">
        <f t="shared" si="39"/>
        <v>-21263588.210000649</v>
      </c>
      <c r="BF30" s="885">
        <f t="shared" si="39"/>
        <v>-1161</v>
      </c>
      <c r="BG30" s="893">
        <f t="shared" si="29"/>
        <v>104.59388699464198</v>
      </c>
      <c r="BH30" s="892">
        <f t="shared" si="30"/>
        <v>103.53483606557377</v>
      </c>
      <c r="BI30" s="894">
        <f t="shared" si="31"/>
        <v>102.52760370038794</v>
      </c>
      <c r="BJ30" s="895"/>
      <c r="BK30" s="874"/>
      <c r="BL30" s="884"/>
      <c r="BM30" s="885"/>
      <c r="BN30" s="885">
        <f t="shared" si="40"/>
        <v>-20472259.210000515</v>
      </c>
      <c r="BO30" s="885">
        <f t="shared" si="40"/>
        <v>-1161</v>
      </c>
      <c r="BP30" s="884"/>
      <c r="BQ30" s="885"/>
      <c r="BR30" s="892">
        <f t="shared" si="41"/>
        <v>99.898089918629566</v>
      </c>
      <c r="BS30" s="894">
        <f t="shared" si="41"/>
        <v>97.670358776787864</v>
      </c>
      <c r="BT30" s="874"/>
      <c r="BU30" s="884"/>
      <c r="BV30" s="885"/>
      <c r="BW30" s="885">
        <f t="shared" si="42"/>
        <v>1133260995.4299994</v>
      </c>
      <c r="BX30" s="885">
        <f t="shared" si="42"/>
        <v>638</v>
      </c>
      <c r="BY30" s="891"/>
      <c r="BZ30" s="892"/>
      <c r="CA30" s="892">
        <f t="shared" si="43"/>
        <v>105.98506401789061</v>
      </c>
      <c r="CB30" s="894">
        <f t="shared" si="43"/>
        <v>101.32814288985574</v>
      </c>
      <c r="CC30" s="874"/>
      <c r="CD30" s="874"/>
      <c r="CE30" s="874"/>
      <c r="CF30" s="874"/>
      <c r="CG30" s="874"/>
      <c r="CH30" s="874"/>
      <c r="CI30" s="874"/>
      <c r="CJ30" s="874"/>
      <c r="CK30" s="874"/>
      <c r="CL30" s="874"/>
      <c r="CM30" s="874"/>
      <c r="CN30" s="874"/>
      <c r="CO30" s="874"/>
      <c r="CP30" s="874"/>
      <c r="CQ30" s="874"/>
      <c r="CR30" s="874"/>
      <c r="CS30" s="874"/>
      <c r="CT30" s="874"/>
      <c r="CU30" s="874"/>
      <c r="CV30" s="874"/>
      <c r="CW30" s="874"/>
      <c r="CX30" s="874"/>
      <c r="CY30" s="874"/>
      <c r="CZ30" s="874"/>
      <c r="DA30" s="874"/>
      <c r="DB30" s="874"/>
      <c r="DC30" s="874"/>
      <c r="DD30" s="874"/>
      <c r="DE30" s="874"/>
      <c r="DF30" s="874"/>
      <c r="DG30" s="874"/>
      <c r="DH30" s="874"/>
      <c r="DI30" s="874"/>
      <c r="DJ30" s="874"/>
      <c r="DK30" s="874"/>
      <c r="DL30" s="874"/>
      <c r="DM30" s="874"/>
      <c r="DN30" s="874"/>
      <c r="DO30" s="874"/>
      <c r="DP30" s="874"/>
      <c r="DQ30" s="874"/>
      <c r="DR30" s="874"/>
      <c r="DS30" s="874"/>
      <c r="DT30" s="874"/>
      <c r="DU30" s="874"/>
      <c r="DV30" s="874"/>
      <c r="DW30" s="874"/>
      <c r="DX30" s="874"/>
      <c r="DY30" s="874"/>
      <c r="DZ30" s="874"/>
      <c r="EA30" s="874"/>
    </row>
    <row r="31" spans="1:131" ht="20.25" hidden="1">
      <c r="A31" s="896" t="s">
        <v>702</v>
      </c>
      <c r="B31" s="884"/>
      <c r="C31" s="885"/>
      <c r="D31" s="885">
        <f t="shared" si="32"/>
        <v>15193465188</v>
      </c>
      <c r="E31" s="885">
        <f t="shared" si="32"/>
        <v>38839</v>
      </c>
      <c r="F31" s="886">
        <f t="shared" si="22"/>
        <v>32599</v>
      </c>
      <c r="G31" s="884"/>
      <c r="H31" s="885"/>
      <c r="I31" s="885">
        <f t="shared" si="33"/>
        <v>15795940082</v>
      </c>
      <c r="J31" s="885">
        <f t="shared" si="33"/>
        <v>40000</v>
      </c>
      <c r="K31" s="886">
        <f t="shared" si="23"/>
        <v>32908</v>
      </c>
      <c r="L31" s="884"/>
      <c r="M31" s="885"/>
      <c r="N31" s="885">
        <f t="shared" si="34"/>
        <v>16085953007</v>
      </c>
      <c r="O31" s="885">
        <f t="shared" si="34"/>
        <v>40294</v>
      </c>
      <c r="P31" s="887">
        <f t="shared" si="24"/>
        <v>33268</v>
      </c>
      <c r="Q31" s="888"/>
      <c r="R31" s="885">
        <f t="shared" si="25"/>
        <v>1813398</v>
      </c>
      <c r="S31" s="889">
        <f t="shared" si="25"/>
        <v>0</v>
      </c>
      <c r="T31" s="888"/>
      <c r="U31" s="885">
        <f t="shared" si="25"/>
        <v>0</v>
      </c>
      <c r="V31" s="889">
        <f t="shared" si="25"/>
        <v>0</v>
      </c>
      <c r="W31" s="884"/>
      <c r="X31" s="885"/>
      <c r="Y31" s="885">
        <f t="shared" si="35"/>
        <v>16087766405</v>
      </c>
      <c r="Z31" s="885">
        <f t="shared" si="35"/>
        <v>40294</v>
      </c>
      <c r="AA31" s="886">
        <f t="shared" si="26"/>
        <v>33272</v>
      </c>
      <c r="AB31" s="884"/>
      <c r="AC31" s="885"/>
      <c r="AD31" s="885">
        <f t="shared" si="36"/>
        <v>16079845558.029999</v>
      </c>
      <c r="AE31" s="885">
        <f t="shared" si="36"/>
        <v>39375</v>
      </c>
      <c r="AF31" s="886">
        <f t="shared" si="27"/>
        <v>34031</v>
      </c>
      <c r="AG31" s="888"/>
      <c r="AH31" s="885">
        <f t="shared" si="28"/>
        <v>1813398</v>
      </c>
      <c r="AI31" s="889">
        <f t="shared" si="28"/>
        <v>0</v>
      </c>
      <c r="AJ31" s="888"/>
      <c r="AK31" s="885">
        <f t="shared" si="28"/>
        <v>791500</v>
      </c>
      <c r="AL31" s="889">
        <f t="shared" si="28"/>
        <v>0</v>
      </c>
      <c r="AM31" s="888"/>
      <c r="AN31" s="885">
        <f t="shared" si="28"/>
        <v>0</v>
      </c>
      <c r="AO31" s="889">
        <f t="shared" si="28"/>
        <v>0</v>
      </c>
      <c r="AP31" s="888"/>
      <c r="AQ31" s="885">
        <f t="shared" si="28"/>
        <v>0</v>
      </c>
      <c r="AR31" s="889">
        <f t="shared" si="28"/>
        <v>0</v>
      </c>
      <c r="AS31" s="890"/>
      <c r="AT31" s="874"/>
      <c r="AU31" s="884"/>
      <c r="AV31" s="885"/>
      <c r="AW31" s="885">
        <f t="shared" si="37"/>
        <v>-6107448.9700007439</v>
      </c>
      <c r="AX31" s="885">
        <f t="shared" si="37"/>
        <v>-919</v>
      </c>
      <c r="AY31" s="891"/>
      <c r="AZ31" s="892"/>
      <c r="BA31" s="892">
        <f t="shared" si="38"/>
        <v>99.962032408230058</v>
      </c>
      <c r="BB31" s="892">
        <f t="shared" si="38"/>
        <v>97.719263413907782</v>
      </c>
      <c r="BC31" s="884"/>
      <c r="BD31" s="885"/>
      <c r="BE31" s="885">
        <f t="shared" si="39"/>
        <v>-8712346.9700007439</v>
      </c>
      <c r="BF31" s="885">
        <f t="shared" si="39"/>
        <v>-919</v>
      </c>
      <c r="BG31" s="893">
        <f t="shared" si="29"/>
        <v>104.39277278444123</v>
      </c>
      <c r="BH31" s="892">
        <f t="shared" si="30"/>
        <v>103.4125440622341</v>
      </c>
      <c r="BI31" s="894">
        <f t="shared" si="31"/>
        <v>102.29349525069136</v>
      </c>
      <c r="BJ31" s="895"/>
      <c r="BK31" s="874"/>
      <c r="BL31" s="884"/>
      <c r="BM31" s="885"/>
      <c r="BN31" s="885">
        <f t="shared" si="40"/>
        <v>-7920846.9700007439</v>
      </c>
      <c r="BO31" s="885">
        <f t="shared" si="40"/>
        <v>-919</v>
      </c>
      <c r="BP31" s="884"/>
      <c r="BQ31" s="885"/>
      <c r="BR31" s="892">
        <f t="shared" si="41"/>
        <v>99.950764781321425</v>
      </c>
      <c r="BS31" s="894">
        <f t="shared" si="41"/>
        <v>97.719263413907782</v>
      </c>
      <c r="BT31" s="874"/>
      <c r="BU31" s="884"/>
      <c r="BV31" s="885"/>
      <c r="BW31" s="885">
        <f t="shared" si="42"/>
        <v>886380370.02999926</v>
      </c>
      <c r="BX31" s="885">
        <f t="shared" si="42"/>
        <v>536</v>
      </c>
      <c r="BY31" s="891"/>
      <c r="BZ31" s="892"/>
      <c r="CA31" s="892">
        <f t="shared" si="43"/>
        <v>105.83395794877704</v>
      </c>
      <c r="CB31" s="894">
        <f t="shared" si="43"/>
        <v>101.38005612914853</v>
      </c>
      <c r="CC31" s="874"/>
      <c r="CD31" s="874"/>
      <c r="CE31" s="874"/>
      <c r="CF31" s="874"/>
      <c r="CG31" s="874"/>
      <c r="CH31" s="874"/>
      <c r="CI31" s="874"/>
      <c r="CJ31" s="874"/>
      <c r="CK31" s="874"/>
      <c r="CL31" s="874"/>
      <c r="CM31" s="874"/>
      <c r="CN31" s="874"/>
      <c r="CO31" s="874"/>
      <c r="CP31" s="874"/>
      <c r="CQ31" s="874"/>
      <c r="CR31" s="874"/>
      <c r="CS31" s="874"/>
      <c r="CT31" s="874"/>
      <c r="CU31" s="874"/>
      <c r="CV31" s="874"/>
      <c r="CW31" s="874"/>
      <c r="CX31" s="874"/>
      <c r="CY31" s="874"/>
      <c r="CZ31" s="874"/>
      <c r="DA31" s="874"/>
      <c r="DB31" s="874"/>
      <c r="DC31" s="874"/>
      <c r="DD31" s="874"/>
      <c r="DE31" s="874"/>
      <c r="DF31" s="874"/>
      <c r="DG31" s="874"/>
      <c r="DH31" s="874"/>
      <c r="DI31" s="874"/>
      <c r="DJ31" s="874"/>
      <c r="DK31" s="874"/>
      <c r="DL31" s="874"/>
      <c r="DM31" s="874"/>
      <c r="DN31" s="874"/>
      <c r="DO31" s="874"/>
      <c r="DP31" s="874"/>
      <c r="DQ31" s="874"/>
      <c r="DR31" s="874"/>
      <c r="DS31" s="874"/>
      <c r="DT31" s="874"/>
      <c r="DU31" s="874"/>
      <c r="DV31" s="874"/>
      <c r="DW31" s="874"/>
      <c r="DX31" s="874"/>
      <c r="DY31" s="874"/>
      <c r="DZ31" s="874"/>
      <c r="EA31" s="874"/>
    </row>
    <row r="32" spans="1:131" ht="20.25" hidden="1">
      <c r="A32" s="896" t="s">
        <v>703</v>
      </c>
      <c r="B32" s="884"/>
      <c r="C32" s="885"/>
      <c r="D32" s="885">
        <f t="shared" si="32"/>
        <v>3741353087</v>
      </c>
      <c r="E32" s="885">
        <f t="shared" si="32"/>
        <v>9198</v>
      </c>
      <c r="F32" s="886">
        <f t="shared" si="22"/>
        <v>33896</v>
      </c>
      <c r="G32" s="884"/>
      <c r="H32" s="885"/>
      <c r="I32" s="885">
        <f t="shared" si="33"/>
        <v>3907583668</v>
      </c>
      <c r="J32" s="885">
        <f t="shared" si="33"/>
        <v>9481</v>
      </c>
      <c r="K32" s="886">
        <f t="shared" si="23"/>
        <v>34346</v>
      </c>
      <c r="L32" s="884"/>
      <c r="M32" s="885"/>
      <c r="N32" s="885">
        <f t="shared" si="34"/>
        <v>3954022138</v>
      </c>
      <c r="O32" s="885">
        <f t="shared" si="34"/>
        <v>9542</v>
      </c>
      <c r="P32" s="887">
        <f t="shared" si="24"/>
        <v>34532</v>
      </c>
      <c r="Q32" s="888"/>
      <c r="R32" s="885">
        <f t="shared" si="25"/>
        <v>46762986.640000001</v>
      </c>
      <c r="S32" s="889">
        <f t="shared" si="25"/>
        <v>0</v>
      </c>
      <c r="T32" s="888"/>
      <c r="U32" s="885">
        <f t="shared" si="25"/>
        <v>0</v>
      </c>
      <c r="V32" s="889">
        <f t="shared" si="25"/>
        <v>0</v>
      </c>
      <c r="W32" s="884"/>
      <c r="X32" s="885"/>
      <c r="Y32" s="885">
        <f t="shared" si="35"/>
        <v>4000785124.6399999</v>
      </c>
      <c r="Z32" s="885">
        <f t="shared" si="35"/>
        <v>9542</v>
      </c>
      <c r="AA32" s="886">
        <f t="shared" si="26"/>
        <v>34940</v>
      </c>
      <c r="AB32" s="884"/>
      <c r="AC32" s="885"/>
      <c r="AD32" s="885">
        <f t="shared" si="36"/>
        <v>3988233712.4000001</v>
      </c>
      <c r="AE32" s="885">
        <f t="shared" si="36"/>
        <v>9300</v>
      </c>
      <c r="AF32" s="886">
        <f t="shared" si="27"/>
        <v>35737</v>
      </c>
      <c r="AG32" s="888"/>
      <c r="AH32" s="885">
        <f t="shared" si="28"/>
        <v>31571001.25</v>
      </c>
      <c r="AI32" s="889">
        <f t="shared" si="28"/>
        <v>0</v>
      </c>
      <c r="AJ32" s="888"/>
      <c r="AK32" s="885">
        <f t="shared" si="28"/>
        <v>0</v>
      </c>
      <c r="AL32" s="889">
        <f t="shared" si="28"/>
        <v>0</v>
      </c>
      <c r="AM32" s="888"/>
      <c r="AN32" s="885">
        <f t="shared" si="28"/>
        <v>15191814.390000001</v>
      </c>
      <c r="AO32" s="889">
        <f t="shared" si="28"/>
        <v>0</v>
      </c>
      <c r="AP32" s="888"/>
      <c r="AQ32" s="885">
        <f t="shared" si="28"/>
        <v>0</v>
      </c>
      <c r="AR32" s="889">
        <f t="shared" si="28"/>
        <v>0</v>
      </c>
      <c r="AS32" s="890"/>
      <c r="AT32" s="874"/>
      <c r="AU32" s="884"/>
      <c r="AV32" s="885"/>
      <c r="AW32" s="885">
        <f t="shared" si="37"/>
        <v>34211574.400000095</v>
      </c>
      <c r="AX32" s="885">
        <f t="shared" si="37"/>
        <v>-242</v>
      </c>
      <c r="AY32" s="891"/>
      <c r="AZ32" s="892"/>
      <c r="BA32" s="892">
        <f t="shared" si="38"/>
        <v>100.86523477122728</v>
      </c>
      <c r="BB32" s="892">
        <f t="shared" si="38"/>
        <v>97.463844057849499</v>
      </c>
      <c r="BC32" s="884"/>
      <c r="BD32" s="885"/>
      <c r="BE32" s="885">
        <f t="shared" si="39"/>
        <v>-12551241.239999907</v>
      </c>
      <c r="BF32" s="885">
        <f t="shared" si="39"/>
        <v>-242</v>
      </c>
      <c r="BG32" s="893">
        <f t="shared" si="29"/>
        <v>105.43131932971441</v>
      </c>
      <c r="BH32" s="892">
        <f t="shared" si="30"/>
        <v>104.04996214988644</v>
      </c>
      <c r="BI32" s="894">
        <f t="shared" si="31"/>
        <v>103.48951696976718</v>
      </c>
      <c r="BJ32" s="895"/>
      <c r="BK32" s="874"/>
      <c r="BL32" s="884"/>
      <c r="BM32" s="885"/>
      <c r="BN32" s="885">
        <f t="shared" si="40"/>
        <v>-12551412.239999682</v>
      </c>
      <c r="BO32" s="885">
        <f t="shared" si="40"/>
        <v>-242</v>
      </c>
      <c r="BP32" s="884"/>
      <c r="BQ32" s="885"/>
      <c r="BR32" s="892">
        <f t="shared" si="41"/>
        <v>99.686276272057256</v>
      </c>
      <c r="BS32" s="894">
        <f t="shared" si="41"/>
        <v>97.463844057849499</v>
      </c>
      <c r="BT32" s="874"/>
      <c r="BU32" s="884"/>
      <c r="BV32" s="885"/>
      <c r="BW32" s="885">
        <f t="shared" si="42"/>
        <v>246880625.4000001</v>
      </c>
      <c r="BX32" s="885">
        <f t="shared" si="42"/>
        <v>102</v>
      </c>
      <c r="BY32" s="891"/>
      <c r="BZ32" s="892"/>
      <c r="CA32" s="892">
        <f t="shared" si="43"/>
        <v>106.59869891077192</v>
      </c>
      <c r="CB32" s="894">
        <f t="shared" si="43"/>
        <v>101.10893672537509</v>
      </c>
      <c r="CC32" s="874"/>
      <c r="CD32" s="874"/>
      <c r="CE32" s="874"/>
      <c r="CF32" s="874"/>
      <c r="CG32" s="874"/>
      <c r="CH32" s="874"/>
      <c r="CI32" s="874"/>
      <c r="CJ32" s="874"/>
      <c r="CK32" s="874"/>
      <c r="CL32" s="874"/>
      <c r="CM32" s="874"/>
      <c r="CN32" s="874"/>
      <c r="CO32" s="874"/>
      <c r="CP32" s="874"/>
      <c r="CQ32" s="874"/>
      <c r="CR32" s="874"/>
      <c r="CS32" s="874"/>
      <c r="CT32" s="874"/>
      <c r="CU32" s="874"/>
      <c r="CV32" s="874"/>
      <c r="CW32" s="874"/>
      <c r="CX32" s="874"/>
      <c r="CY32" s="874"/>
      <c r="CZ32" s="874"/>
      <c r="DA32" s="874"/>
      <c r="DB32" s="874"/>
      <c r="DC32" s="874"/>
      <c r="DD32" s="874"/>
      <c r="DE32" s="874"/>
      <c r="DF32" s="874"/>
      <c r="DG32" s="874"/>
      <c r="DH32" s="874"/>
      <c r="DI32" s="874"/>
      <c r="DJ32" s="874"/>
      <c r="DK32" s="874"/>
      <c r="DL32" s="874"/>
      <c r="DM32" s="874"/>
      <c r="DN32" s="874"/>
      <c r="DO32" s="874"/>
      <c r="DP32" s="874"/>
      <c r="DQ32" s="874"/>
      <c r="DR32" s="874"/>
      <c r="DS32" s="874"/>
      <c r="DT32" s="874"/>
      <c r="DU32" s="874"/>
      <c r="DV32" s="874"/>
      <c r="DW32" s="874"/>
      <c r="DX32" s="874"/>
      <c r="DY32" s="874"/>
      <c r="DZ32" s="874"/>
      <c r="EA32" s="874"/>
    </row>
    <row r="33" spans="1:131" ht="20.25" hidden="1">
      <c r="A33" s="896" t="s">
        <v>704</v>
      </c>
      <c r="B33" s="884"/>
      <c r="C33" s="885"/>
      <c r="D33" s="885">
        <f t="shared" si="32"/>
        <v>0</v>
      </c>
      <c r="E33" s="885">
        <f t="shared" si="32"/>
        <v>0</v>
      </c>
      <c r="F33" s="886">
        <f t="shared" si="22"/>
        <v>0</v>
      </c>
      <c r="G33" s="884"/>
      <c r="H33" s="885"/>
      <c r="I33" s="885">
        <f t="shared" si="33"/>
        <v>466840628</v>
      </c>
      <c r="J33" s="885">
        <f t="shared" si="33"/>
        <v>1228</v>
      </c>
      <c r="K33" s="886">
        <f t="shared" si="23"/>
        <v>31680</v>
      </c>
      <c r="L33" s="884"/>
      <c r="M33" s="885"/>
      <c r="N33" s="885">
        <f t="shared" si="34"/>
        <v>377518677</v>
      </c>
      <c r="O33" s="885">
        <f t="shared" si="34"/>
        <v>848</v>
      </c>
      <c r="P33" s="887">
        <f t="shared" si="24"/>
        <v>37099</v>
      </c>
      <c r="Q33" s="888"/>
      <c r="R33" s="885">
        <f t="shared" si="25"/>
        <v>7555301.6299999999</v>
      </c>
      <c r="S33" s="889">
        <f t="shared" si="25"/>
        <v>0</v>
      </c>
      <c r="T33" s="888"/>
      <c r="U33" s="885">
        <f t="shared" si="25"/>
        <v>0</v>
      </c>
      <c r="V33" s="889">
        <f t="shared" si="25"/>
        <v>0</v>
      </c>
      <c r="W33" s="884"/>
      <c r="X33" s="885"/>
      <c r="Y33" s="885">
        <f t="shared" si="35"/>
        <v>385073978.63</v>
      </c>
      <c r="Z33" s="885">
        <f t="shared" si="35"/>
        <v>848</v>
      </c>
      <c r="AA33" s="886">
        <f t="shared" si="26"/>
        <v>37841</v>
      </c>
      <c r="AB33" s="884"/>
      <c r="AC33" s="885"/>
      <c r="AD33" s="885">
        <f t="shared" si="36"/>
        <v>318489862.31999999</v>
      </c>
      <c r="AE33" s="885">
        <f t="shared" si="36"/>
        <v>700</v>
      </c>
      <c r="AF33" s="886">
        <f t="shared" si="27"/>
        <v>37915</v>
      </c>
      <c r="AG33" s="888"/>
      <c r="AH33" s="885">
        <f t="shared" si="28"/>
        <v>5805461.7000000002</v>
      </c>
      <c r="AI33" s="889">
        <f t="shared" si="28"/>
        <v>0</v>
      </c>
      <c r="AJ33" s="888"/>
      <c r="AK33" s="885">
        <f t="shared" si="28"/>
        <v>0</v>
      </c>
      <c r="AL33" s="889">
        <f t="shared" si="28"/>
        <v>0</v>
      </c>
      <c r="AM33" s="888"/>
      <c r="AN33" s="885">
        <f t="shared" si="28"/>
        <v>0</v>
      </c>
      <c r="AO33" s="889">
        <f t="shared" si="28"/>
        <v>0</v>
      </c>
      <c r="AP33" s="888"/>
      <c r="AQ33" s="885">
        <f t="shared" si="28"/>
        <v>0</v>
      </c>
      <c r="AR33" s="889">
        <f t="shared" si="28"/>
        <v>0</v>
      </c>
      <c r="AS33" s="890"/>
      <c r="AT33" s="874"/>
      <c r="AU33" s="884"/>
      <c r="AV33" s="885"/>
      <c r="AW33" s="885">
        <f t="shared" si="37"/>
        <v>-59028814.680000007</v>
      </c>
      <c r="AX33" s="885">
        <f t="shared" si="37"/>
        <v>-148</v>
      </c>
      <c r="AY33" s="891"/>
      <c r="AZ33" s="892"/>
      <c r="BA33" s="892">
        <f t="shared" si="38"/>
        <v>84.364001498129852</v>
      </c>
      <c r="BB33" s="892">
        <f t="shared" si="38"/>
        <v>82.547169811320757</v>
      </c>
      <c r="BC33" s="884"/>
      <c r="BD33" s="885"/>
      <c r="BE33" s="885">
        <f t="shared" si="39"/>
        <v>-64834276.38000001</v>
      </c>
      <c r="BF33" s="885">
        <f t="shared" si="39"/>
        <v>-148</v>
      </c>
      <c r="BG33" s="893">
        <f t="shared" si="29"/>
        <v>0</v>
      </c>
      <c r="BH33" s="892">
        <f t="shared" si="30"/>
        <v>119.68118686868688</v>
      </c>
      <c r="BI33" s="894">
        <f t="shared" si="31"/>
        <v>102.19952020270088</v>
      </c>
      <c r="BJ33" s="895"/>
      <c r="BK33" s="874"/>
      <c r="BL33" s="884"/>
      <c r="BM33" s="885"/>
      <c r="BN33" s="885">
        <f t="shared" si="40"/>
        <v>-66584116.310000002</v>
      </c>
      <c r="BO33" s="885">
        <f t="shared" si="40"/>
        <v>-148</v>
      </c>
      <c r="BP33" s="884"/>
      <c r="BQ33" s="885"/>
      <c r="BR33" s="892">
        <f t="shared" si="41"/>
        <v>82.708746888873094</v>
      </c>
      <c r="BS33" s="894">
        <f t="shared" si="41"/>
        <v>82.547169811320757</v>
      </c>
      <c r="BT33" s="874"/>
      <c r="BU33" s="884"/>
      <c r="BV33" s="885"/>
      <c r="BW33" s="885">
        <f t="shared" si="42"/>
        <v>318489862.31999999</v>
      </c>
      <c r="BX33" s="885">
        <f t="shared" si="42"/>
        <v>700</v>
      </c>
      <c r="BY33" s="891"/>
      <c r="BZ33" s="892"/>
      <c r="CA33" s="892">
        <f t="shared" si="43"/>
        <v>0</v>
      </c>
      <c r="CB33" s="894">
        <f t="shared" si="43"/>
        <v>0</v>
      </c>
      <c r="CC33" s="874"/>
      <c r="CD33" s="874"/>
      <c r="CE33" s="874"/>
      <c r="CF33" s="874"/>
      <c r="CG33" s="874"/>
      <c r="CH33" s="874"/>
      <c r="CI33" s="874"/>
      <c r="CJ33" s="874"/>
      <c r="CK33" s="874"/>
      <c r="CL33" s="874"/>
      <c r="CM33" s="874"/>
      <c r="CN33" s="874"/>
      <c r="CO33" s="874"/>
      <c r="CP33" s="874"/>
      <c r="CQ33" s="874"/>
      <c r="CR33" s="874"/>
      <c r="CS33" s="874"/>
      <c r="CT33" s="874"/>
      <c r="CU33" s="874"/>
      <c r="CV33" s="874"/>
      <c r="CW33" s="874"/>
      <c r="CX33" s="874"/>
      <c r="CY33" s="874"/>
      <c r="CZ33" s="874"/>
      <c r="DA33" s="874"/>
      <c r="DB33" s="874"/>
      <c r="DC33" s="874"/>
      <c r="DD33" s="874"/>
      <c r="DE33" s="874"/>
      <c r="DF33" s="874"/>
      <c r="DG33" s="874"/>
      <c r="DH33" s="874"/>
      <c r="DI33" s="874"/>
      <c r="DJ33" s="874"/>
      <c r="DK33" s="874"/>
      <c r="DL33" s="874"/>
      <c r="DM33" s="874"/>
      <c r="DN33" s="874"/>
      <c r="DO33" s="874"/>
      <c r="DP33" s="874"/>
      <c r="DQ33" s="874"/>
      <c r="DR33" s="874"/>
      <c r="DS33" s="874"/>
      <c r="DT33" s="874"/>
      <c r="DU33" s="874"/>
      <c r="DV33" s="874"/>
      <c r="DW33" s="874"/>
      <c r="DX33" s="874"/>
      <c r="DY33" s="874"/>
      <c r="DZ33" s="874"/>
      <c r="EA33" s="874"/>
    </row>
    <row r="34" spans="1:131" ht="20.25" hidden="1">
      <c r="A34" s="897" t="s">
        <v>705</v>
      </c>
      <c r="B34" s="884"/>
      <c r="C34" s="885"/>
      <c r="D34" s="885">
        <f t="shared" si="32"/>
        <v>0</v>
      </c>
      <c r="E34" s="885">
        <f t="shared" si="32"/>
        <v>0</v>
      </c>
      <c r="F34" s="886">
        <f t="shared" si="22"/>
        <v>0</v>
      </c>
      <c r="G34" s="884"/>
      <c r="H34" s="885"/>
      <c r="I34" s="885">
        <f t="shared" si="33"/>
        <v>0</v>
      </c>
      <c r="J34" s="885">
        <f t="shared" si="33"/>
        <v>0</v>
      </c>
      <c r="K34" s="886">
        <f t="shared" si="23"/>
        <v>0</v>
      </c>
      <c r="L34" s="884"/>
      <c r="M34" s="885"/>
      <c r="N34" s="885">
        <f t="shared" si="34"/>
        <v>0</v>
      </c>
      <c r="O34" s="885">
        <f t="shared" si="34"/>
        <v>0</v>
      </c>
      <c r="P34" s="887">
        <f t="shared" si="24"/>
        <v>0</v>
      </c>
      <c r="Q34" s="888"/>
      <c r="R34" s="885">
        <f t="shared" si="25"/>
        <v>0</v>
      </c>
      <c r="S34" s="889">
        <f t="shared" si="25"/>
        <v>0</v>
      </c>
      <c r="T34" s="888"/>
      <c r="U34" s="885">
        <f t="shared" si="25"/>
        <v>0</v>
      </c>
      <c r="V34" s="889">
        <f t="shared" si="25"/>
        <v>0</v>
      </c>
      <c r="W34" s="884"/>
      <c r="X34" s="885"/>
      <c r="Y34" s="885">
        <f t="shared" si="35"/>
        <v>0</v>
      </c>
      <c r="Z34" s="885">
        <f t="shared" si="35"/>
        <v>0</v>
      </c>
      <c r="AA34" s="886">
        <f t="shared" si="26"/>
        <v>0</v>
      </c>
      <c r="AB34" s="884"/>
      <c r="AC34" s="885"/>
      <c r="AD34" s="885">
        <f t="shared" si="36"/>
        <v>0</v>
      </c>
      <c r="AE34" s="885">
        <f t="shared" si="36"/>
        <v>0</v>
      </c>
      <c r="AF34" s="886">
        <f t="shared" si="27"/>
        <v>0</v>
      </c>
      <c r="AG34" s="888"/>
      <c r="AH34" s="885">
        <f t="shared" si="28"/>
        <v>0</v>
      </c>
      <c r="AI34" s="889">
        <f t="shared" si="28"/>
        <v>0</v>
      </c>
      <c r="AJ34" s="888"/>
      <c r="AK34" s="885">
        <f t="shared" si="28"/>
        <v>0</v>
      </c>
      <c r="AL34" s="889">
        <f t="shared" si="28"/>
        <v>0</v>
      </c>
      <c r="AM34" s="888"/>
      <c r="AN34" s="885">
        <f t="shared" si="28"/>
        <v>0</v>
      </c>
      <c r="AO34" s="889">
        <f t="shared" si="28"/>
        <v>0</v>
      </c>
      <c r="AP34" s="888"/>
      <c r="AQ34" s="885">
        <f t="shared" si="28"/>
        <v>0</v>
      </c>
      <c r="AR34" s="889">
        <f t="shared" si="28"/>
        <v>0</v>
      </c>
      <c r="AS34" s="890"/>
      <c r="AT34" s="874"/>
      <c r="AU34" s="884"/>
      <c r="AV34" s="885"/>
      <c r="AW34" s="885">
        <f t="shared" si="37"/>
        <v>0</v>
      </c>
      <c r="AX34" s="885">
        <f t="shared" si="37"/>
        <v>0</v>
      </c>
      <c r="AY34" s="891"/>
      <c r="AZ34" s="892"/>
      <c r="BA34" s="892">
        <f t="shared" si="38"/>
        <v>0</v>
      </c>
      <c r="BB34" s="892">
        <f t="shared" si="38"/>
        <v>0</v>
      </c>
      <c r="BC34" s="884"/>
      <c r="BD34" s="885"/>
      <c r="BE34" s="885">
        <f t="shared" si="39"/>
        <v>0</v>
      </c>
      <c r="BF34" s="885">
        <f t="shared" si="39"/>
        <v>0</v>
      </c>
      <c r="BG34" s="893">
        <f t="shared" si="29"/>
        <v>0</v>
      </c>
      <c r="BH34" s="892">
        <f t="shared" si="30"/>
        <v>0</v>
      </c>
      <c r="BI34" s="894">
        <f t="shared" si="31"/>
        <v>0</v>
      </c>
      <c r="BJ34" s="895"/>
      <c r="BK34" s="874"/>
      <c r="BL34" s="884"/>
      <c r="BM34" s="885"/>
      <c r="BN34" s="885">
        <f t="shared" si="40"/>
        <v>0</v>
      </c>
      <c r="BO34" s="885">
        <f t="shared" si="40"/>
        <v>0</v>
      </c>
      <c r="BP34" s="884"/>
      <c r="BQ34" s="885"/>
      <c r="BR34" s="892">
        <f t="shared" si="41"/>
        <v>0</v>
      </c>
      <c r="BS34" s="894">
        <f t="shared" si="41"/>
        <v>0</v>
      </c>
      <c r="BT34" s="874"/>
      <c r="BU34" s="884"/>
      <c r="BV34" s="885"/>
      <c r="BW34" s="885">
        <f t="shared" si="42"/>
        <v>0</v>
      </c>
      <c r="BX34" s="885">
        <f t="shared" si="42"/>
        <v>0</v>
      </c>
      <c r="BY34" s="891"/>
      <c r="BZ34" s="892"/>
      <c r="CA34" s="892">
        <f t="shared" si="43"/>
        <v>0</v>
      </c>
      <c r="CB34" s="894">
        <f t="shared" si="43"/>
        <v>0</v>
      </c>
      <c r="CC34" s="874"/>
      <c r="CD34" s="874"/>
      <c r="CE34" s="874"/>
      <c r="CF34" s="874"/>
      <c r="CG34" s="874"/>
      <c r="CH34" s="874"/>
      <c r="CI34" s="874"/>
      <c r="CJ34" s="874"/>
      <c r="CK34" s="874"/>
      <c r="CL34" s="874"/>
      <c r="CM34" s="874"/>
      <c r="CN34" s="874"/>
      <c r="CO34" s="874"/>
      <c r="CP34" s="874"/>
      <c r="CQ34" s="874"/>
      <c r="CR34" s="874"/>
      <c r="CS34" s="874"/>
      <c r="CT34" s="874"/>
      <c r="CU34" s="874"/>
      <c r="CV34" s="874"/>
      <c r="CW34" s="874"/>
      <c r="CX34" s="874"/>
      <c r="CY34" s="874"/>
      <c r="CZ34" s="874"/>
      <c r="DA34" s="874"/>
      <c r="DB34" s="874"/>
      <c r="DC34" s="874"/>
      <c r="DD34" s="874"/>
      <c r="DE34" s="874"/>
      <c r="DF34" s="874"/>
      <c r="DG34" s="874"/>
      <c r="DH34" s="874"/>
      <c r="DI34" s="874"/>
      <c r="DJ34" s="874"/>
      <c r="DK34" s="874"/>
      <c r="DL34" s="874"/>
      <c r="DM34" s="874"/>
      <c r="DN34" s="874"/>
      <c r="DO34" s="874"/>
      <c r="DP34" s="874"/>
      <c r="DQ34" s="874"/>
      <c r="DR34" s="874"/>
      <c r="DS34" s="874"/>
      <c r="DT34" s="874"/>
      <c r="DU34" s="874"/>
      <c r="DV34" s="874"/>
      <c r="DW34" s="874"/>
      <c r="DX34" s="874"/>
      <c r="DY34" s="874"/>
      <c r="DZ34" s="874"/>
      <c r="EA34" s="874"/>
    </row>
    <row r="35" spans="1:131" ht="20.25" hidden="1">
      <c r="A35" s="896" t="s">
        <v>706</v>
      </c>
      <c r="B35" s="884"/>
      <c r="C35" s="885">
        <f>C44+C52+C117</f>
        <v>1182917</v>
      </c>
      <c r="D35" s="899"/>
      <c r="E35" s="899"/>
      <c r="F35" s="900"/>
      <c r="G35" s="884"/>
      <c r="H35" s="885">
        <f>H44+H52+H117</f>
        <v>1292800</v>
      </c>
      <c r="I35" s="899"/>
      <c r="J35" s="899"/>
      <c r="K35" s="900"/>
      <c r="L35" s="884"/>
      <c r="M35" s="885">
        <f>M44+M52+M117</f>
        <v>1292800</v>
      </c>
      <c r="N35" s="899"/>
      <c r="O35" s="899"/>
      <c r="P35" s="901"/>
      <c r="Q35" s="888">
        <f>Q44+Q52+Q117</f>
        <v>0</v>
      </c>
      <c r="R35" s="899"/>
      <c r="S35" s="902"/>
      <c r="T35" s="888">
        <f>T44+T52+T117</f>
        <v>0</v>
      </c>
      <c r="U35" s="899"/>
      <c r="V35" s="902"/>
      <c r="W35" s="884"/>
      <c r="X35" s="885">
        <f>X44+X52+X117</f>
        <v>1292800</v>
      </c>
      <c r="Y35" s="899"/>
      <c r="Z35" s="899"/>
      <c r="AA35" s="900"/>
      <c r="AB35" s="884"/>
      <c r="AC35" s="885">
        <f>AC44+AC52+AC117</f>
        <v>1405200</v>
      </c>
      <c r="AD35" s="899"/>
      <c r="AE35" s="899"/>
      <c r="AF35" s="900"/>
      <c r="AG35" s="888">
        <f>AG44+AG52+AG117</f>
        <v>112400</v>
      </c>
      <c r="AH35" s="899"/>
      <c r="AI35" s="902"/>
      <c r="AJ35" s="888">
        <f>AJ44+AJ52+AJ117</f>
        <v>0</v>
      </c>
      <c r="AK35" s="899"/>
      <c r="AL35" s="902"/>
      <c r="AM35" s="888">
        <f>AM44+AM52+AM117</f>
        <v>0</v>
      </c>
      <c r="AN35" s="899"/>
      <c r="AO35" s="902"/>
      <c r="AP35" s="888">
        <f>AP44+AP52+AP117</f>
        <v>0</v>
      </c>
      <c r="AQ35" s="899"/>
      <c r="AR35" s="902"/>
      <c r="AS35" s="903"/>
      <c r="AT35" s="874"/>
      <c r="AU35" s="884"/>
      <c r="AV35" s="885">
        <f>AV44+AV52+AV117</f>
        <v>112400</v>
      </c>
      <c r="AW35" s="899"/>
      <c r="AX35" s="899"/>
      <c r="AY35" s="891"/>
      <c r="AZ35" s="892">
        <f>IF(M35=0,0,AC35/M35*100)</f>
        <v>108.69430693069306</v>
      </c>
      <c r="BA35" s="904"/>
      <c r="BB35" s="904"/>
      <c r="BC35" s="884"/>
      <c r="BD35" s="885">
        <f>BD44+BD52+BD117</f>
        <v>0</v>
      </c>
      <c r="BE35" s="899"/>
      <c r="BF35" s="899"/>
      <c r="BG35" s="884"/>
      <c r="BH35" s="899"/>
      <c r="BI35" s="902"/>
      <c r="BJ35" s="905"/>
      <c r="BK35" s="874"/>
      <c r="BL35" s="884"/>
      <c r="BM35" s="885">
        <f>BM44+BM52+BM117</f>
        <v>112400</v>
      </c>
      <c r="BN35" s="899"/>
      <c r="BO35" s="899"/>
      <c r="BP35" s="884"/>
      <c r="BQ35" s="892">
        <f>IF(X35=0,0,AC35/X35*100)</f>
        <v>108.69430693069306</v>
      </c>
      <c r="BR35" s="899"/>
      <c r="BS35" s="902"/>
      <c r="BT35" s="874"/>
      <c r="BU35" s="884"/>
      <c r="BV35" s="885">
        <f>BV44+BV52+BV117</f>
        <v>222283</v>
      </c>
      <c r="BW35" s="899"/>
      <c r="BX35" s="899"/>
      <c r="BY35" s="891"/>
      <c r="BZ35" s="892">
        <f>IF(C35=0,0,AC35/C35*100)</f>
        <v>118.79109016101721</v>
      </c>
      <c r="CA35" s="904"/>
      <c r="CB35" s="906"/>
      <c r="CC35" s="874"/>
      <c r="CD35" s="874"/>
      <c r="CE35" s="874"/>
      <c r="CF35" s="874"/>
      <c r="CG35" s="874"/>
      <c r="CH35" s="874"/>
      <c r="CI35" s="874"/>
      <c r="CJ35" s="874"/>
      <c r="CK35" s="874"/>
      <c r="CL35" s="874"/>
      <c r="CM35" s="874"/>
      <c r="CN35" s="874"/>
      <c r="CO35" s="874"/>
      <c r="CP35" s="874"/>
      <c r="CQ35" s="874"/>
      <c r="CR35" s="874"/>
      <c r="CS35" s="874"/>
      <c r="CT35" s="874"/>
      <c r="CU35" s="874"/>
      <c r="CV35" s="874"/>
      <c r="CW35" s="874"/>
      <c r="CX35" s="874"/>
      <c r="CY35" s="874"/>
      <c r="CZ35" s="874"/>
      <c r="DA35" s="874"/>
      <c r="DB35" s="874"/>
      <c r="DC35" s="874"/>
      <c r="DD35" s="874"/>
      <c r="DE35" s="874"/>
      <c r="DF35" s="874"/>
      <c r="DG35" s="874"/>
      <c r="DH35" s="874"/>
      <c r="DI35" s="874"/>
      <c r="DJ35" s="874"/>
      <c r="DK35" s="874"/>
      <c r="DL35" s="874"/>
      <c r="DM35" s="874"/>
      <c r="DN35" s="874"/>
      <c r="DO35" s="874"/>
      <c r="DP35" s="874"/>
      <c r="DQ35" s="874"/>
      <c r="DR35" s="874"/>
      <c r="DS35" s="874"/>
      <c r="DT35" s="874"/>
      <c r="DU35" s="874"/>
      <c r="DV35" s="874"/>
      <c r="DW35" s="874"/>
      <c r="DX35" s="874"/>
      <c r="DY35" s="874"/>
      <c r="DZ35" s="874"/>
      <c r="EA35" s="874"/>
    </row>
    <row r="36" spans="1:131" ht="20.25">
      <c r="A36" s="883" t="s">
        <v>708</v>
      </c>
      <c r="B36" s="884"/>
      <c r="C36" s="899"/>
      <c r="D36" s="899"/>
      <c r="E36" s="899"/>
      <c r="F36" s="902"/>
      <c r="G36" s="884"/>
      <c r="H36" s="899"/>
      <c r="I36" s="899"/>
      <c r="J36" s="899"/>
      <c r="K36" s="902"/>
      <c r="L36" s="884"/>
      <c r="M36" s="899"/>
      <c r="N36" s="899"/>
      <c r="O36" s="899"/>
      <c r="P36" s="907"/>
      <c r="Q36" s="884"/>
      <c r="R36" s="899"/>
      <c r="S36" s="902"/>
      <c r="T36" s="884"/>
      <c r="U36" s="899"/>
      <c r="V36" s="902"/>
      <c r="W36" s="884"/>
      <c r="X36" s="899"/>
      <c r="Y36" s="899"/>
      <c r="Z36" s="899"/>
      <c r="AA36" s="902"/>
      <c r="AB36" s="884"/>
      <c r="AC36" s="899"/>
      <c r="AD36" s="899"/>
      <c r="AE36" s="899"/>
      <c r="AF36" s="902"/>
      <c r="AG36" s="884"/>
      <c r="AH36" s="899"/>
      <c r="AI36" s="902"/>
      <c r="AJ36" s="884"/>
      <c r="AK36" s="899"/>
      <c r="AL36" s="902"/>
      <c r="AM36" s="884"/>
      <c r="AN36" s="899"/>
      <c r="AO36" s="902"/>
      <c r="AP36" s="884"/>
      <c r="AQ36" s="899"/>
      <c r="AR36" s="902"/>
      <c r="AS36" s="903"/>
      <c r="AT36" s="874"/>
      <c r="AU36" s="884"/>
      <c r="AV36" s="899"/>
      <c r="AW36" s="899"/>
      <c r="AX36" s="899"/>
      <c r="AY36" s="891"/>
      <c r="AZ36" s="904"/>
      <c r="BA36" s="904"/>
      <c r="BB36" s="904"/>
      <c r="BC36" s="884"/>
      <c r="BD36" s="899"/>
      <c r="BE36" s="899"/>
      <c r="BF36" s="899"/>
      <c r="BG36" s="884"/>
      <c r="BH36" s="899"/>
      <c r="BI36" s="902"/>
      <c r="BJ36" s="905"/>
      <c r="BK36" s="874"/>
      <c r="BL36" s="884"/>
      <c r="BM36" s="899"/>
      <c r="BN36" s="899"/>
      <c r="BO36" s="899"/>
      <c r="BP36" s="884"/>
      <c r="BQ36" s="899"/>
      <c r="BR36" s="899"/>
      <c r="BS36" s="902"/>
      <c r="BT36" s="874"/>
      <c r="BU36" s="884"/>
      <c r="BV36" s="899"/>
      <c r="BW36" s="899"/>
      <c r="BX36" s="899"/>
      <c r="BY36" s="891"/>
      <c r="BZ36" s="904"/>
      <c r="CA36" s="904"/>
      <c r="CB36" s="906"/>
      <c r="CC36" s="874"/>
      <c r="CD36" s="874"/>
      <c r="CE36" s="874"/>
      <c r="CF36" s="874"/>
      <c r="CG36" s="874"/>
      <c r="CH36" s="874"/>
      <c r="CI36" s="874"/>
      <c r="CJ36" s="874"/>
      <c r="CK36" s="874"/>
      <c r="CL36" s="874"/>
      <c r="CM36" s="874"/>
      <c r="CN36" s="874"/>
      <c r="CO36" s="874"/>
      <c r="CP36" s="874"/>
      <c r="CQ36" s="874"/>
      <c r="CR36" s="874"/>
      <c r="CS36" s="874"/>
      <c r="CT36" s="874"/>
      <c r="CU36" s="874"/>
      <c r="CV36" s="874"/>
      <c r="CW36" s="874"/>
      <c r="CX36" s="874"/>
      <c r="CY36" s="874"/>
      <c r="CZ36" s="874"/>
      <c r="DA36" s="874"/>
      <c r="DB36" s="874"/>
      <c r="DC36" s="874"/>
      <c r="DD36" s="874"/>
      <c r="DE36" s="874"/>
      <c r="DF36" s="874"/>
      <c r="DG36" s="874"/>
      <c r="DH36" s="874"/>
      <c r="DI36" s="874"/>
      <c r="DJ36" s="874"/>
      <c r="DK36" s="874"/>
      <c r="DL36" s="874"/>
      <c r="DM36" s="874"/>
      <c r="DN36" s="874"/>
      <c r="DO36" s="874"/>
      <c r="DP36" s="874"/>
      <c r="DQ36" s="874"/>
      <c r="DR36" s="874"/>
      <c r="DS36" s="874"/>
      <c r="DT36" s="874"/>
      <c r="DU36" s="874"/>
      <c r="DV36" s="874"/>
      <c r="DW36" s="874"/>
      <c r="DX36" s="874"/>
      <c r="DY36" s="874"/>
      <c r="DZ36" s="874"/>
      <c r="EA36" s="874"/>
    </row>
    <row r="37" spans="1:131" s="882" customFormat="1" ht="23.25" customHeight="1">
      <c r="A37" s="908" t="s">
        <v>709</v>
      </c>
      <c r="B37" s="888">
        <f>C37+D37</f>
        <v>3739082000</v>
      </c>
      <c r="C37" s="909">
        <v>96897720</v>
      </c>
      <c r="D37" s="885">
        <f>SUM(D38:D39,D42:D43)</f>
        <v>3642184280</v>
      </c>
      <c r="E37" s="885">
        <f>SUM(E38:E39,E42:E43)</f>
        <v>8898</v>
      </c>
      <c r="F37" s="886">
        <f t="shared" ref="F37:F43" si="44">IF(E37=0,0,ROUND(D37/E37/12,0))</f>
        <v>34111</v>
      </c>
      <c r="G37" s="888">
        <f>H37+I37</f>
        <v>4051400275</v>
      </c>
      <c r="H37" s="909">
        <v>98314379</v>
      </c>
      <c r="I37" s="885">
        <f>SUM(I38:I39,I42:I43)</f>
        <v>3953085896</v>
      </c>
      <c r="J37" s="885">
        <f>SUM(J38:J39,J42:J43)</f>
        <v>9082</v>
      </c>
      <c r="K37" s="886">
        <f t="shared" ref="K37:K43" si="45">IF(J37=0,0,ROUND(I37/J37/12,0))</f>
        <v>36272</v>
      </c>
      <c r="L37" s="888">
        <f>M37+N37</f>
        <v>3956473088</v>
      </c>
      <c r="M37" s="909">
        <v>103705862</v>
      </c>
      <c r="N37" s="885">
        <f>SUM(N38:N39,N42:N43)</f>
        <v>3852767226</v>
      </c>
      <c r="O37" s="885">
        <f>SUM(O38:O39,O42:O43)</f>
        <v>9405</v>
      </c>
      <c r="P37" s="887">
        <f t="shared" ref="P37:P43" si="46">IF(O37=0,0,ROUND(N37/O37/12,0))</f>
        <v>34138</v>
      </c>
      <c r="Q37" s="910">
        <f>[6]LRZ!$J$7+20000</f>
        <v>27301968.440000001</v>
      </c>
      <c r="R37" s="885">
        <f>SUM(R38:R39,R42:R43)</f>
        <v>176417823.84</v>
      </c>
      <c r="S37" s="889">
        <f>SUM(S38:S39,S42:S43)</f>
        <v>89</v>
      </c>
      <c r="T37" s="910"/>
      <c r="U37" s="885">
        <f>SUM(U38:U39,U42:U43)</f>
        <v>0</v>
      </c>
      <c r="V37" s="889">
        <f>SUM(V38:V39,V42:V43)</f>
        <v>0</v>
      </c>
      <c r="W37" s="888">
        <f>X37+Y37</f>
        <v>4160192880.2800002</v>
      </c>
      <c r="X37" s="885">
        <f>M37+Q37-T37</f>
        <v>131007830.44</v>
      </c>
      <c r="Y37" s="885">
        <f>SUM(Y38:Y39,Y42:Y43)</f>
        <v>4029185049.8400002</v>
      </c>
      <c r="Z37" s="885">
        <f>SUM(Z38:Z39,Z42:Z43)</f>
        <v>9494</v>
      </c>
      <c r="AA37" s="886">
        <f t="shared" ref="AA37:AA43" si="47">IF(Z37=0,0,ROUND(Y37/Z37/12,0))</f>
        <v>35366</v>
      </c>
      <c r="AB37" s="888">
        <f>AC37+AD37</f>
        <v>4025489711.4200001</v>
      </c>
      <c r="AC37" s="911">
        <f>[7]LRZ!$F$7</f>
        <v>111996073.44</v>
      </c>
      <c r="AD37" s="885">
        <f>SUM(AD38:AD39,AD42:AD43)</f>
        <v>3913493637.98</v>
      </c>
      <c r="AE37" s="885">
        <f>SUM(AE38:AE39,AE42:AE43)</f>
        <v>9049</v>
      </c>
      <c r="AF37" s="886">
        <f t="shared" ref="AF37:AF43" si="48">IF(AE37=0,0,ROUND(AD37/AE37/12,0))</f>
        <v>36040</v>
      </c>
      <c r="AG37" s="910">
        <v>21727104.449999999</v>
      </c>
      <c r="AH37" s="885">
        <f>SUM(AH38:AH39,AH42:AH43)</f>
        <v>137403186.01000002</v>
      </c>
      <c r="AI37" s="889">
        <f>SUM(AI38:AI39,AI42:AI43)</f>
        <v>82</v>
      </c>
      <c r="AJ37" s="910">
        <f>492900+180000+85400+1722755+233975+68925+2715341</f>
        <v>5499296</v>
      </c>
      <c r="AK37" s="885">
        <f>SUM(AK38:AK39,AK42:AK43)</f>
        <v>2113500</v>
      </c>
      <c r="AL37" s="889">
        <f>SUM(AL38:AL39,AL42:AL43)</f>
        <v>0</v>
      </c>
      <c r="AM37" s="910">
        <v>20000</v>
      </c>
      <c r="AN37" s="885">
        <f>SUM(AN38:AN39,AN42:AN43)</f>
        <v>0</v>
      </c>
      <c r="AO37" s="889">
        <f>SUM(AO38:AO39,AO42:AO43)</f>
        <v>0</v>
      </c>
      <c r="AP37" s="910"/>
      <c r="AQ37" s="885">
        <f>SUM(AQ38:AQ39,AQ42:AQ43)</f>
        <v>0</v>
      </c>
      <c r="AR37" s="889">
        <f>SUM(AR38:AR39,AR42:AR43)</f>
        <v>0</v>
      </c>
      <c r="AS37" s="890"/>
      <c r="AT37" s="874"/>
      <c r="AU37" s="888">
        <f>AV37+AW37</f>
        <v>69016623.419999897</v>
      </c>
      <c r="AV37" s="885">
        <f>AC37-M37</f>
        <v>8290211.4399999976</v>
      </c>
      <c r="AW37" s="885">
        <f>SUM(AW38:AW39,AW42:AW43)</f>
        <v>60726411.9799999</v>
      </c>
      <c r="AX37" s="885">
        <f>SUM(AX38:AX39,AX42:AX43)</f>
        <v>-356</v>
      </c>
      <c r="AY37" s="893">
        <f>IF(L37=0,0,AB37/L37*100)</f>
        <v>101.7443976462099</v>
      </c>
      <c r="AZ37" s="892">
        <f>IF(M37=0,0,AC37/M37*100)</f>
        <v>107.99396608843577</v>
      </c>
      <c r="BA37" s="892">
        <f>IF(N37=0,0,AD37/N37*100)</f>
        <v>101.57617650944999</v>
      </c>
      <c r="BB37" s="892">
        <f>IF(O37=0,0,AE37/O37*100)</f>
        <v>96.214779372674116</v>
      </c>
      <c r="BC37" s="888">
        <f>BD37+BE37</f>
        <v>-97746463.040000111</v>
      </c>
      <c r="BD37" s="885">
        <f>AC37-M37-AG37-AJ37-AM37-AP37</f>
        <v>-18956189.010000002</v>
      </c>
      <c r="BE37" s="885">
        <f>SUM(BE38:BE39,BE42:BE43)</f>
        <v>-78790274.030000106</v>
      </c>
      <c r="BF37" s="885">
        <f>SUM(BF38:BF39,BF42:BF43)</f>
        <v>-438</v>
      </c>
      <c r="BG37" s="893">
        <f t="shared" ref="BG37:BG43" si="49">IF(F37=0,0,AF37/F37*100)</f>
        <v>105.65506728034946</v>
      </c>
      <c r="BH37" s="892">
        <f t="shared" ref="BH37:BH43" si="50">IF(K37=0,0,AF37/K37*100)</f>
        <v>99.360388178209092</v>
      </c>
      <c r="BI37" s="894">
        <f t="shared" ref="BI37:BI43" si="51">IF(P37=0,0,AF37/P37*100)</f>
        <v>105.57150389595174</v>
      </c>
      <c r="BJ37" s="895"/>
      <c r="BK37" s="874"/>
      <c r="BL37" s="888">
        <f>BM37+BN37</f>
        <v>-134703168.86000013</v>
      </c>
      <c r="BM37" s="885">
        <f>AC37-X37</f>
        <v>-19011757</v>
      </c>
      <c r="BN37" s="885">
        <f>SUM(BN38:BN39,BN42:BN43)</f>
        <v>-115691411.86000013</v>
      </c>
      <c r="BO37" s="885">
        <f>SUM(BO38:BO39,BO42:BO43)</f>
        <v>-445</v>
      </c>
      <c r="BP37" s="893">
        <f>IF(W37=0,0,AB37/W37*100)</f>
        <v>96.762093183262849</v>
      </c>
      <c r="BQ37" s="892">
        <f>IF(X37=0,0,AC37/X37*100)</f>
        <v>85.488075837797226</v>
      </c>
      <c r="BR37" s="892">
        <f>IF(Y37=0,0,AD37/Y37*100)</f>
        <v>97.128664719318508</v>
      </c>
      <c r="BS37" s="894">
        <f>IF(Z37=0,0,AE37/Z37*100)</f>
        <v>95.312829155255955</v>
      </c>
      <c r="BT37" s="874"/>
      <c r="BU37" s="888">
        <f>BV37+BW37</f>
        <v>286407711.4199999</v>
      </c>
      <c r="BV37" s="885">
        <f>AC37-C37</f>
        <v>15098353.439999998</v>
      </c>
      <c r="BW37" s="885">
        <f>SUM(BW38:BW39,BW42:BW43)</f>
        <v>271309357.9799999</v>
      </c>
      <c r="BX37" s="885">
        <f>SUM(BX38:BX39,BX42:BX43)</f>
        <v>151</v>
      </c>
      <c r="BY37" s="893">
        <f>IF(B37=0,0,AB37/B37*100)</f>
        <v>107.65984034102489</v>
      </c>
      <c r="BZ37" s="892">
        <f>IF(C37=0,0,AC37/C37*100)</f>
        <v>115.58174272831188</v>
      </c>
      <c r="CA37" s="892">
        <f>IF(D37=0,0,AD37/D37*100)</f>
        <v>107.44908376739247</v>
      </c>
      <c r="CB37" s="894">
        <f>IF(E37=0,0,AE37/E37*100)</f>
        <v>101.69701056417173</v>
      </c>
      <c r="CC37" s="874"/>
      <c r="CD37" s="874"/>
      <c r="CE37" s="874"/>
      <c r="CF37" s="874"/>
      <c r="CG37" s="874"/>
      <c r="CH37" s="874"/>
      <c r="CI37" s="874"/>
      <c r="CJ37" s="874"/>
      <c r="CK37" s="874"/>
      <c r="CL37" s="874"/>
      <c r="CM37" s="874"/>
      <c r="CN37" s="874"/>
      <c r="CO37" s="874"/>
      <c r="CP37" s="874"/>
      <c r="CQ37" s="874"/>
      <c r="CR37" s="874"/>
      <c r="CS37" s="874"/>
      <c r="CT37" s="874"/>
      <c r="CU37" s="874"/>
      <c r="CV37" s="874"/>
      <c r="CW37" s="874"/>
      <c r="CX37" s="874"/>
      <c r="CY37" s="874"/>
      <c r="CZ37" s="874"/>
      <c r="DA37" s="874"/>
      <c r="DB37" s="874"/>
      <c r="DC37" s="874"/>
      <c r="DD37" s="874"/>
      <c r="DE37" s="874"/>
      <c r="DF37" s="874"/>
      <c r="DG37" s="874"/>
      <c r="DH37" s="874"/>
      <c r="DI37" s="874"/>
      <c r="DJ37" s="874"/>
      <c r="DK37" s="874"/>
      <c r="DL37" s="874"/>
      <c r="DM37" s="874"/>
      <c r="DN37" s="874"/>
      <c r="DO37" s="874"/>
      <c r="DP37" s="874"/>
      <c r="DQ37" s="874"/>
      <c r="DR37" s="874"/>
      <c r="DS37" s="874"/>
      <c r="DT37" s="874"/>
      <c r="DU37" s="874"/>
      <c r="DV37" s="874"/>
      <c r="DW37" s="874"/>
      <c r="DX37" s="874"/>
      <c r="DY37" s="874"/>
      <c r="DZ37" s="874"/>
      <c r="EA37" s="874"/>
    </row>
    <row r="38" spans="1:131" ht="20.25">
      <c r="A38" s="883" t="s">
        <v>700</v>
      </c>
      <c r="B38" s="884"/>
      <c r="C38" s="899"/>
      <c r="D38" s="909">
        <v>1406935263</v>
      </c>
      <c r="E38" s="909">
        <v>4115</v>
      </c>
      <c r="F38" s="886">
        <f t="shared" si="44"/>
        <v>28492</v>
      </c>
      <c r="G38" s="884"/>
      <c r="H38" s="899"/>
      <c r="I38" s="909">
        <v>1204253994</v>
      </c>
      <c r="J38" s="909">
        <v>3109</v>
      </c>
      <c r="K38" s="886">
        <f t="shared" si="45"/>
        <v>32279</v>
      </c>
      <c r="L38" s="884"/>
      <c r="M38" s="899"/>
      <c r="N38" s="909">
        <v>1166372976</v>
      </c>
      <c r="O38" s="909">
        <v>3636</v>
      </c>
      <c r="P38" s="887">
        <f t="shared" si="46"/>
        <v>26732</v>
      </c>
      <c r="Q38" s="884"/>
      <c r="R38" s="911">
        <f>[6]LRZ!$I$8</f>
        <v>164342179.56</v>
      </c>
      <c r="S38" s="912">
        <v>89</v>
      </c>
      <c r="T38" s="884"/>
      <c r="U38" s="911"/>
      <c r="V38" s="912"/>
      <c r="W38" s="884"/>
      <c r="X38" s="899"/>
      <c r="Y38" s="885">
        <f t="shared" ref="Y38:Z43" si="52">N38+R38-U38</f>
        <v>1330715155.5599999</v>
      </c>
      <c r="Z38" s="885">
        <f t="shared" si="52"/>
        <v>3725</v>
      </c>
      <c r="AA38" s="886">
        <f t="shared" si="47"/>
        <v>29770</v>
      </c>
      <c r="AB38" s="884"/>
      <c r="AC38" s="899"/>
      <c r="AD38" s="911">
        <f>[7]LRZ!$E$8</f>
        <v>1285924632.3800001</v>
      </c>
      <c r="AE38" s="911">
        <f>'[7]výdaje mv+oOSS'!$E$42+[7]PČR!$E$41+'[7]HZS ČR'!$E$41+'[7]HZS ČR'!$E$63</f>
        <v>3718</v>
      </c>
      <c r="AF38" s="886">
        <f t="shared" si="48"/>
        <v>28822</v>
      </c>
      <c r="AG38" s="884"/>
      <c r="AH38" s="911">
        <f>42207249.24+79849492.25+1709555+2814806.08</f>
        <v>126581102.57000001</v>
      </c>
      <c r="AI38" s="912">
        <v>82</v>
      </c>
      <c r="AJ38" s="884"/>
      <c r="AK38" s="911">
        <f>1072000+250000</f>
        <v>1322000</v>
      </c>
      <c r="AL38" s="912"/>
      <c r="AM38" s="884"/>
      <c r="AN38" s="911"/>
      <c r="AO38" s="912"/>
      <c r="AP38" s="884"/>
      <c r="AQ38" s="911"/>
      <c r="AR38" s="912"/>
      <c r="AS38" s="890"/>
      <c r="AT38" s="874"/>
      <c r="AU38" s="884"/>
      <c r="AV38" s="899"/>
      <c r="AW38" s="885">
        <f t="shared" ref="AW38:AX43" si="53">AD38-N38</f>
        <v>119551656.38000011</v>
      </c>
      <c r="AX38" s="885">
        <f t="shared" si="53"/>
        <v>82</v>
      </c>
      <c r="AY38" s="891"/>
      <c r="AZ38" s="904"/>
      <c r="BA38" s="892">
        <f t="shared" ref="BA38:BB43" si="54">IF(N38=0,0,AD38/N38*100)</f>
        <v>110.24986508089331</v>
      </c>
      <c r="BB38" s="892">
        <f t="shared" si="54"/>
        <v>102.25522552255227</v>
      </c>
      <c r="BC38" s="884"/>
      <c r="BD38" s="899"/>
      <c r="BE38" s="885">
        <f t="shared" ref="BE38:BF43" si="55">AD38-N38-AH38-AK38-AN38-AQ38</f>
        <v>-8351446.1899998933</v>
      </c>
      <c r="BF38" s="885">
        <f t="shared" si="55"/>
        <v>0</v>
      </c>
      <c r="BG38" s="893">
        <f t="shared" si="49"/>
        <v>101.15821985118629</v>
      </c>
      <c r="BH38" s="892">
        <f t="shared" si="50"/>
        <v>89.290250627342857</v>
      </c>
      <c r="BI38" s="894">
        <f t="shared" si="51"/>
        <v>107.81834505461619</v>
      </c>
      <c r="BJ38" s="895"/>
      <c r="BK38" s="874"/>
      <c r="BL38" s="884"/>
      <c r="BM38" s="899"/>
      <c r="BN38" s="885">
        <f t="shared" ref="BN38:BO43" si="56">AD38-Y38</f>
        <v>-44790523.179999828</v>
      </c>
      <c r="BO38" s="885">
        <f t="shared" si="56"/>
        <v>-7</v>
      </c>
      <c r="BP38" s="884"/>
      <c r="BQ38" s="899"/>
      <c r="BR38" s="892">
        <f t="shared" ref="BR38:BS43" si="57">IF(Y38=0,0,AD38/Y38*100)</f>
        <v>96.634101370766246</v>
      </c>
      <c r="BS38" s="894">
        <f t="shared" si="57"/>
        <v>99.812080536912745</v>
      </c>
      <c r="BT38" s="874"/>
      <c r="BU38" s="884"/>
      <c r="BV38" s="899"/>
      <c r="BW38" s="885">
        <f t="shared" ref="BW38:BX43" si="58">AD38-D38</f>
        <v>-121010630.61999989</v>
      </c>
      <c r="BX38" s="885">
        <f t="shared" si="58"/>
        <v>-397</v>
      </c>
      <c r="BY38" s="891"/>
      <c r="BZ38" s="904"/>
      <c r="CA38" s="892">
        <f t="shared" ref="CA38:CB43" si="59">IF(D38=0,0,AD38/D38*100)</f>
        <v>91.398990856056201</v>
      </c>
      <c r="CB38" s="894">
        <f t="shared" si="59"/>
        <v>90.35236938031592</v>
      </c>
      <c r="CC38" s="874"/>
      <c r="CD38" s="874"/>
      <c r="CE38" s="874"/>
      <c r="CF38" s="874"/>
      <c r="CG38" s="874"/>
      <c r="CH38" s="874"/>
      <c r="CI38" s="874"/>
      <c r="CJ38" s="874"/>
      <c r="CK38" s="874"/>
      <c r="CL38" s="874"/>
      <c r="CM38" s="874"/>
      <c r="CN38" s="874"/>
      <c r="CO38" s="874"/>
      <c r="CP38" s="874"/>
      <c r="CQ38" s="874"/>
      <c r="CR38" s="874"/>
      <c r="CS38" s="874"/>
      <c r="CT38" s="874"/>
      <c r="CU38" s="874"/>
      <c r="CV38" s="874"/>
      <c r="CW38" s="874"/>
      <c r="CX38" s="874"/>
      <c r="CY38" s="874"/>
      <c r="CZ38" s="874"/>
      <c r="DA38" s="874"/>
      <c r="DB38" s="874"/>
      <c r="DC38" s="874"/>
      <c r="DD38" s="874"/>
      <c r="DE38" s="874"/>
      <c r="DF38" s="874"/>
      <c r="DG38" s="874"/>
      <c r="DH38" s="874"/>
      <c r="DI38" s="874"/>
      <c r="DJ38" s="874"/>
      <c r="DK38" s="874"/>
      <c r="DL38" s="874"/>
      <c r="DM38" s="874"/>
      <c r="DN38" s="874"/>
      <c r="DO38" s="874"/>
      <c r="DP38" s="874"/>
      <c r="DQ38" s="874"/>
      <c r="DR38" s="874"/>
      <c r="DS38" s="874"/>
      <c r="DT38" s="874"/>
      <c r="DU38" s="874"/>
      <c r="DV38" s="874"/>
      <c r="DW38" s="874"/>
      <c r="DX38" s="874"/>
      <c r="DY38" s="874"/>
      <c r="DZ38" s="874"/>
      <c r="EA38" s="874"/>
    </row>
    <row r="39" spans="1:131" ht="20.25">
      <c r="A39" s="896" t="s">
        <v>701</v>
      </c>
      <c r="B39" s="884"/>
      <c r="C39" s="899"/>
      <c r="D39" s="885">
        <v>2235249017</v>
      </c>
      <c r="E39" s="885">
        <v>4783</v>
      </c>
      <c r="F39" s="886">
        <f t="shared" si="44"/>
        <v>38944</v>
      </c>
      <c r="G39" s="884"/>
      <c r="H39" s="899"/>
      <c r="I39" s="885">
        <v>2368359952</v>
      </c>
      <c r="J39" s="885">
        <v>5018</v>
      </c>
      <c r="K39" s="886">
        <f t="shared" si="45"/>
        <v>39331</v>
      </c>
      <c r="L39" s="884"/>
      <c r="M39" s="899"/>
      <c r="N39" s="885">
        <v>2404787268</v>
      </c>
      <c r="O39" s="885">
        <v>5193</v>
      </c>
      <c r="P39" s="887">
        <f t="shared" si="46"/>
        <v>38590</v>
      </c>
      <c r="Q39" s="884"/>
      <c r="R39" s="913">
        <f>R40+R41</f>
        <v>6530342.6500000004</v>
      </c>
      <c r="S39" s="914">
        <f>S40+S41</f>
        <v>0</v>
      </c>
      <c r="T39" s="884"/>
      <c r="U39" s="913">
        <f>U40+U41</f>
        <v>0</v>
      </c>
      <c r="V39" s="914">
        <f>V40+V41</f>
        <v>0</v>
      </c>
      <c r="W39" s="884"/>
      <c r="X39" s="899"/>
      <c r="Y39" s="885">
        <f>Y40+Y41</f>
        <v>2411317610.6500001</v>
      </c>
      <c r="Z39" s="885">
        <f>Z40+Z41</f>
        <v>5193</v>
      </c>
      <c r="AA39" s="886">
        <f t="shared" si="47"/>
        <v>38695</v>
      </c>
      <c r="AB39" s="884"/>
      <c r="AC39" s="899"/>
      <c r="AD39" s="913">
        <f>AD40+AD41</f>
        <v>2403363122.7199998</v>
      </c>
      <c r="AE39" s="913">
        <f>AE40+AE41</f>
        <v>4887</v>
      </c>
      <c r="AF39" s="886">
        <f t="shared" si="48"/>
        <v>40982</v>
      </c>
      <c r="AG39" s="884"/>
      <c r="AH39" s="913">
        <f>AH40+AH41</f>
        <v>6530171.6500000004</v>
      </c>
      <c r="AI39" s="914">
        <f>AI40+AI41</f>
        <v>0</v>
      </c>
      <c r="AJ39" s="884"/>
      <c r="AK39" s="913">
        <f>AK40+AK41</f>
        <v>791500</v>
      </c>
      <c r="AL39" s="914">
        <f>AL40+AL41</f>
        <v>0</v>
      </c>
      <c r="AM39" s="884"/>
      <c r="AN39" s="913">
        <f>AN40+AN41</f>
        <v>0</v>
      </c>
      <c r="AO39" s="914">
        <f>AO40+AO41</f>
        <v>0</v>
      </c>
      <c r="AP39" s="884"/>
      <c r="AQ39" s="913">
        <f>AQ40+AQ41</f>
        <v>0</v>
      </c>
      <c r="AR39" s="914">
        <f>AR40+AR41</f>
        <v>0</v>
      </c>
      <c r="AS39" s="890"/>
      <c r="AT39" s="874"/>
      <c r="AU39" s="884"/>
      <c r="AV39" s="899"/>
      <c r="AW39" s="885">
        <f t="shared" si="53"/>
        <v>-1424145.2800002098</v>
      </c>
      <c r="AX39" s="885">
        <f t="shared" si="53"/>
        <v>-306</v>
      </c>
      <c r="AY39" s="891"/>
      <c r="AZ39" s="904"/>
      <c r="BA39" s="892">
        <f t="shared" si="54"/>
        <v>99.940778741681186</v>
      </c>
      <c r="BB39" s="892">
        <f t="shared" si="54"/>
        <v>94.107452339688052</v>
      </c>
      <c r="BC39" s="884"/>
      <c r="BD39" s="899"/>
      <c r="BE39" s="885">
        <f t="shared" si="55"/>
        <v>-8745816.9300002102</v>
      </c>
      <c r="BF39" s="885">
        <f t="shared" si="55"/>
        <v>-306</v>
      </c>
      <c r="BG39" s="893">
        <f t="shared" si="49"/>
        <v>105.23315529991784</v>
      </c>
      <c r="BH39" s="892">
        <f t="shared" si="50"/>
        <v>104.19770664361445</v>
      </c>
      <c r="BI39" s="894">
        <f t="shared" si="51"/>
        <v>106.19849701995336</v>
      </c>
      <c r="BJ39" s="895"/>
      <c r="BK39" s="874"/>
      <c r="BL39" s="884"/>
      <c r="BM39" s="899"/>
      <c r="BN39" s="885">
        <f t="shared" si="56"/>
        <v>-7954487.9300003052</v>
      </c>
      <c r="BO39" s="885">
        <f t="shared" si="56"/>
        <v>-306</v>
      </c>
      <c r="BP39" s="884"/>
      <c r="BQ39" s="899"/>
      <c r="BR39" s="892">
        <f t="shared" si="57"/>
        <v>99.670118615031555</v>
      </c>
      <c r="BS39" s="894">
        <f t="shared" si="57"/>
        <v>94.107452339688052</v>
      </c>
      <c r="BT39" s="874"/>
      <c r="BU39" s="884"/>
      <c r="BV39" s="899"/>
      <c r="BW39" s="885">
        <f t="shared" si="58"/>
        <v>168114105.71999979</v>
      </c>
      <c r="BX39" s="885">
        <f t="shared" si="58"/>
        <v>104</v>
      </c>
      <c r="BY39" s="891"/>
      <c r="BZ39" s="904"/>
      <c r="CA39" s="892">
        <f t="shared" si="59"/>
        <v>107.5210459524385</v>
      </c>
      <c r="CB39" s="894">
        <f t="shared" si="59"/>
        <v>102.17436755174576</v>
      </c>
      <c r="CC39" s="874"/>
      <c r="CD39" s="874"/>
      <c r="CE39" s="874"/>
      <c r="CF39" s="874"/>
      <c r="CG39" s="874"/>
      <c r="CH39" s="874"/>
      <c r="CI39" s="874"/>
      <c r="CJ39" s="874"/>
      <c r="CK39" s="874"/>
      <c r="CL39" s="874"/>
      <c r="CM39" s="874"/>
      <c r="CN39" s="874"/>
      <c r="CO39" s="874"/>
      <c r="CP39" s="874"/>
      <c r="CQ39" s="874"/>
      <c r="CR39" s="874"/>
      <c r="CS39" s="874"/>
      <c r="CT39" s="874"/>
      <c r="CU39" s="874"/>
      <c r="CV39" s="874"/>
      <c r="CW39" s="874"/>
      <c r="CX39" s="874"/>
      <c r="CY39" s="874"/>
      <c r="CZ39" s="874"/>
      <c r="DA39" s="874"/>
      <c r="DB39" s="874"/>
      <c r="DC39" s="874"/>
      <c r="DD39" s="874"/>
      <c r="DE39" s="874"/>
      <c r="DF39" s="874"/>
      <c r="DG39" s="874"/>
      <c r="DH39" s="874"/>
      <c r="DI39" s="874"/>
      <c r="DJ39" s="874"/>
      <c r="DK39" s="874"/>
      <c r="DL39" s="874"/>
      <c r="DM39" s="874"/>
      <c r="DN39" s="874"/>
      <c r="DO39" s="874"/>
      <c r="DP39" s="874"/>
      <c r="DQ39" s="874"/>
      <c r="DR39" s="874"/>
      <c r="DS39" s="874"/>
      <c r="DT39" s="874"/>
      <c r="DU39" s="874"/>
      <c r="DV39" s="874"/>
      <c r="DW39" s="874"/>
      <c r="DX39" s="874"/>
      <c r="DY39" s="874"/>
      <c r="DZ39" s="874"/>
      <c r="EA39" s="874"/>
    </row>
    <row r="40" spans="1:131" ht="20.25">
      <c r="A40" s="896" t="s">
        <v>702</v>
      </c>
      <c r="B40" s="884"/>
      <c r="C40" s="899"/>
      <c r="D40" s="909">
        <v>2128583129</v>
      </c>
      <c r="E40" s="909">
        <v>4563</v>
      </c>
      <c r="F40" s="886">
        <f t="shared" si="44"/>
        <v>38874</v>
      </c>
      <c r="G40" s="884"/>
      <c r="H40" s="899"/>
      <c r="I40" s="909">
        <v>2252857396</v>
      </c>
      <c r="J40" s="909">
        <v>4778</v>
      </c>
      <c r="K40" s="886">
        <f t="shared" si="45"/>
        <v>39292</v>
      </c>
      <c r="L40" s="884"/>
      <c r="M40" s="899"/>
      <c r="N40" s="909">
        <v>2296039587</v>
      </c>
      <c r="O40" s="909">
        <v>4947</v>
      </c>
      <c r="P40" s="887">
        <f t="shared" si="46"/>
        <v>38677</v>
      </c>
      <c r="Q40" s="884"/>
      <c r="R40" s="911">
        <v>0</v>
      </c>
      <c r="S40" s="912"/>
      <c r="T40" s="884"/>
      <c r="U40" s="911"/>
      <c r="V40" s="912"/>
      <c r="W40" s="884"/>
      <c r="X40" s="899"/>
      <c r="Y40" s="885">
        <f t="shared" si="52"/>
        <v>2296039587</v>
      </c>
      <c r="Z40" s="885">
        <f t="shared" si="52"/>
        <v>4947</v>
      </c>
      <c r="AA40" s="886">
        <f t="shared" si="47"/>
        <v>38677</v>
      </c>
      <c r="AB40" s="884"/>
      <c r="AC40" s="899"/>
      <c r="AD40" s="911">
        <f>[7]LRZ!$E$9-AD41</f>
        <v>2288528655.7199998</v>
      </c>
      <c r="AE40" s="911">
        <f>[7]PČR!$E$40</f>
        <v>4660</v>
      </c>
      <c r="AF40" s="886">
        <f t="shared" si="48"/>
        <v>40925</v>
      </c>
      <c r="AG40" s="884"/>
      <c r="AH40" s="913"/>
      <c r="AI40" s="912"/>
      <c r="AJ40" s="884"/>
      <c r="AK40" s="911">
        <v>791500</v>
      </c>
      <c r="AL40" s="912"/>
      <c r="AM40" s="884"/>
      <c r="AN40" s="911"/>
      <c r="AO40" s="912"/>
      <c r="AP40" s="884"/>
      <c r="AQ40" s="911"/>
      <c r="AR40" s="912"/>
      <c r="AS40" s="890"/>
      <c r="AT40" s="874"/>
      <c r="AU40" s="884"/>
      <c r="AV40" s="899"/>
      <c r="AW40" s="885">
        <f t="shared" si="53"/>
        <v>-7510931.2800002098</v>
      </c>
      <c r="AX40" s="885">
        <f t="shared" si="53"/>
        <v>-287</v>
      </c>
      <c r="AY40" s="891"/>
      <c r="AZ40" s="904"/>
      <c r="BA40" s="892">
        <f t="shared" si="54"/>
        <v>99.672874486897939</v>
      </c>
      <c r="BB40" s="892">
        <f t="shared" si="54"/>
        <v>94.198504143925604</v>
      </c>
      <c r="BC40" s="884"/>
      <c r="BD40" s="899"/>
      <c r="BE40" s="885">
        <f t="shared" si="55"/>
        <v>-8302431.2800002098</v>
      </c>
      <c r="BF40" s="885">
        <f t="shared" si="55"/>
        <v>-287</v>
      </c>
      <c r="BG40" s="893">
        <f t="shared" si="49"/>
        <v>105.27601996192828</v>
      </c>
      <c r="BH40" s="892">
        <f t="shared" si="50"/>
        <v>104.15606230275883</v>
      </c>
      <c r="BI40" s="894">
        <f t="shared" si="51"/>
        <v>105.81223983245857</v>
      </c>
      <c r="BJ40" s="895"/>
      <c r="BK40" s="874"/>
      <c r="BL40" s="884"/>
      <c r="BM40" s="899"/>
      <c r="BN40" s="885">
        <f t="shared" si="56"/>
        <v>-7510931.2800002098</v>
      </c>
      <c r="BO40" s="885">
        <f t="shared" si="56"/>
        <v>-287</v>
      </c>
      <c r="BP40" s="884"/>
      <c r="BQ40" s="899"/>
      <c r="BR40" s="892">
        <f t="shared" si="57"/>
        <v>99.672874486897939</v>
      </c>
      <c r="BS40" s="894">
        <f t="shared" si="57"/>
        <v>94.198504143925604</v>
      </c>
      <c r="BT40" s="874"/>
      <c r="BU40" s="884"/>
      <c r="BV40" s="899"/>
      <c r="BW40" s="885">
        <f t="shared" si="58"/>
        <v>159945526.71999979</v>
      </c>
      <c r="BX40" s="885">
        <f t="shared" si="58"/>
        <v>97</v>
      </c>
      <c r="BY40" s="891"/>
      <c r="BZ40" s="904"/>
      <c r="CA40" s="892">
        <f t="shared" si="59"/>
        <v>107.51417807183041</v>
      </c>
      <c r="CB40" s="894">
        <f t="shared" si="59"/>
        <v>102.12579443348675</v>
      </c>
      <c r="CC40" s="874"/>
      <c r="CD40" s="874"/>
      <c r="CE40" s="874"/>
      <c r="CF40" s="874"/>
      <c r="CG40" s="874"/>
      <c r="CH40" s="874"/>
      <c r="CI40" s="874"/>
      <c r="CJ40" s="874"/>
      <c r="CK40" s="874"/>
      <c r="CL40" s="874"/>
      <c r="CM40" s="874"/>
      <c r="CN40" s="874"/>
      <c r="CO40" s="874"/>
      <c r="CP40" s="874"/>
      <c r="CQ40" s="874"/>
      <c r="CR40" s="874"/>
      <c r="CS40" s="874"/>
      <c r="CT40" s="874"/>
      <c r="CU40" s="874"/>
      <c r="CV40" s="874"/>
      <c r="CW40" s="874"/>
      <c r="CX40" s="874"/>
      <c r="CY40" s="874"/>
      <c r="CZ40" s="874"/>
      <c r="DA40" s="874"/>
      <c r="DB40" s="874"/>
      <c r="DC40" s="874"/>
      <c r="DD40" s="874"/>
      <c r="DE40" s="874"/>
      <c r="DF40" s="874"/>
      <c r="DG40" s="874"/>
      <c r="DH40" s="874"/>
      <c r="DI40" s="874"/>
      <c r="DJ40" s="874"/>
      <c r="DK40" s="874"/>
      <c r="DL40" s="874"/>
      <c r="DM40" s="874"/>
      <c r="DN40" s="874"/>
      <c r="DO40" s="874"/>
      <c r="DP40" s="874"/>
      <c r="DQ40" s="874"/>
      <c r="DR40" s="874"/>
      <c r="DS40" s="874"/>
      <c r="DT40" s="874"/>
      <c r="DU40" s="874"/>
      <c r="DV40" s="874"/>
      <c r="DW40" s="874"/>
      <c r="DX40" s="874"/>
      <c r="DY40" s="874"/>
      <c r="DZ40" s="874"/>
      <c r="EA40" s="874"/>
    </row>
    <row r="41" spans="1:131" ht="20.25">
      <c r="A41" s="896" t="s">
        <v>703</v>
      </c>
      <c r="B41" s="884"/>
      <c r="C41" s="899"/>
      <c r="D41" s="909">
        <v>106665888</v>
      </c>
      <c r="E41" s="909">
        <v>220</v>
      </c>
      <c r="F41" s="886">
        <f t="shared" si="44"/>
        <v>40404</v>
      </c>
      <c r="G41" s="884"/>
      <c r="H41" s="899"/>
      <c r="I41" s="909">
        <v>115502556</v>
      </c>
      <c r="J41" s="909">
        <v>240</v>
      </c>
      <c r="K41" s="886">
        <f t="shared" si="45"/>
        <v>40105</v>
      </c>
      <c r="L41" s="884"/>
      <c r="M41" s="899"/>
      <c r="N41" s="909">
        <v>108747681</v>
      </c>
      <c r="O41" s="909">
        <v>246</v>
      </c>
      <c r="P41" s="887">
        <f t="shared" si="46"/>
        <v>36839</v>
      </c>
      <c r="Q41" s="884"/>
      <c r="R41" s="911">
        <f>[6]LRZ!$I$9</f>
        <v>6530342.6500000004</v>
      </c>
      <c r="S41" s="912"/>
      <c r="T41" s="884"/>
      <c r="U41" s="911"/>
      <c r="V41" s="912"/>
      <c r="W41" s="884"/>
      <c r="X41" s="899"/>
      <c r="Y41" s="885">
        <f t="shared" si="52"/>
        <v>115278023.65000001</v>
      </c>
      <c r="Z41" s="885">
        <f t="shared" si="52"/>
        <v>246</v>
      </c>
      <c r="AA41" s="886">
        <f t="shared" si="47"/>
        <v>39051</v>
      </c>
      <c r="AB41" s="884"/>
      <c r="AC41" s="899"/>
      <c r="AD41" s="911">
        <f>'[7]HZS ČR'!$E$31+'[7]HZS ČR'!$E$53</f>
        <v>114834467</v>
      </c>
      <c r="AE41" s="911">
        <f>'[7]HZS ČR'!$E$40+'[7]HZS ČR'!$E$62</f>
        <v>227</v>
      </c>
      <c r="AF41" s="886">
        <f t="shared" si="48"/>
        <v>42157</v>
      </c>
      <c r="AG41" s="884"/>
      <c r="AH41" s="911">
        <f>3182148+3348023.65</f>
        <v>6530171.6500000004</v>
      </c>
      <c r="AI41" s="912"/>
      <c r="AJ41" s="884"/>
      <c r="AK41" s="911"/>
      <c r="AL41" s="912"/>
      <c r="AM41" s="884"/>
      <c r="AN41" s="911"/>
      <c r="AO41" s="912"/>
      <c r="AP41" s="884"/>
      <c r="AQ41" s="911"/>
      <c r="AR41" s="912"/>
      <c r="AS41" s="890"/>
      <c r="AT41" s="874"/>
      <c r="AU41" s="884"/>
      <c r="AV41" s="899"/>
      <c r="AW41" s="885">
        <f t="shared" si="53"/>
        <v>6086786</v>
      </c>
      <c r="AX41" s="885">
        <f t="shared" si="53"/>
        <v>-19</v>
      </c>
      <c r="AY41" s="891"/>
      <c r="AZ41" s="904"/>
      <c r="BA41" s="892">
        <f t="shared" si="54"/>
        <v>105.5971639523973</v>
      </c>
      <c r="BB41" s="892">
        <f t="shared" si="54"/>
        <v>92.276422764227632</v>
      </c>
      <c r="BC41" s="884"/>
      <c r="BD41" s="899"/>
      <c r="BE41" s="885">
        <f t="shared" si="55"/>
        <v>-443385.65000000037</v>
      </c>
      <c r="BF41" s="885">
        <f t="shared" si="55"/>
        <v>-19</v>
      </c>
      <c r="BG41" s="893">
        <f t="shared" si="49"/>
        <v>104.33867933867933</v>
      </c>
      <c r="BH41" s="892">
        <f t="shared" si="50"/>
        <v>105.1165690063583</v>
      </c>
      <c r="BI41" s="894">
        <f t="shared" si="51"/>
        <v>114.43578815928772</v>
      </c>
      <c r="BJ41" s="895"/>
      <c r="BK41" s="874"/>
      <c r="BL41" s="884"/>
      <c r="BM41" s="899"/>
      <c r="BN41" s="885">
        <f t="shared" si="56"/>
        <v>-443556.65000000596</v>
      </c>
      <c r="BO41" s="885">
        <f t="shared" si="56"/>
        <v>-19</v>
      </c>
      <c r="BP41" s="884"/>
      <c r="BQ41" s="899"/>
      <c r="BR41" s="892">
        <f t="shared" si="57"/>
        <v>99.615228786931056</v>
      </c>
      <c r="BS41" s="894">
        <f t="shared" si="57"/>
        <v>92.276422764227632</v>
      </c>
      <c r="BT41" s="874"/>
      <c r="BU41" s="884"/>
      <c r="BV41" s="899"/>
      <c r="BW41" s="885">
        <f t="shared" si="58"/>
        <v>8168579</v>
      </c>
      <c r="BX41" s="885">
        <f t="shared" si="58"/>
        <v>7</v>
      </c>
      <c r="BY41" s="891"/>
      <c r="BZ41" s="904"/>
      <c r="CA41" s="892">
        <f t="shared" si="59"/>
        <v>107.65809871662061</v>
      </c>
      <c r="CB41" s="894">
        <f t="shared" si="59"/>
        <v>103.18181818181817</v>
      </c>
      <c r="CC41" s="874"/>
      <c r="CD41" s="874"/>
      <c r="CE41" s="874"/>
      <c r="CF41" s="874"/>
      <c r="CG41" s="874"/>
      <c r="CH41" s="874"/>
      <c r="CI41" s="874"/>
      <c r="CJ41" s="874"/>
      <c r="CK41" s="874"/>
      <c r="CL41" s="874"/>
      <c r="CM41" s="874"/>
      <c r="CN41" s="874"/>
      <c r="CO41" s="874"/>
      <c r="CP41" s="874"/>
      <c r="CQ41" s="874"/>
      <c r="CR41" s="874"/>
      <c r="CS41" s="874"/>
      <c r="CT41" s="874"/>
      <c r="CU41" s="874"/>
      <c r="CV41" s="874"/>
      <c r="CW41" s="874"/>
      <c r="CX41" s="874"/>
      <c r="CY41" s="874"/>
      <c r="CZ41" s="874"/>
      <c r="DA41" s="874"/>
      <c r="DB41" s="874"/>
      <c r="DC41" s="874"/>
      <c r="DD41" s="874"/>
      <c r="DE41" s="874"/>
      <c r="DF41" s="874"/>
      <c r="DG41" s="874"/>
      <c r="DH41" s="874"/>
      <c r="DI41" s="874"/>
      <c r="DJ41" s="874"/>
      <c r="DK41" s="874"/>
      <c r="DL41" s="874"/>
      <c r="DM41" s="874"/>
      <c r="DN41" s="874"/>
      <c r="DO41" s="874"/>
      <c r="DP41" s="874"/>
      <c r="DQ41" s="874"/>
      <c r="DR41" s="874"/>
      <c r="DS41" s="874"/>
      <c r="DT41" s="874"/>
      <c r="DU41" s="874"/>
      <c r="DV41" s="874"/>
      <c r="DW41" s="874"/>
      <c r="DX41" s="874"/>
      <c r="DY41" s="874"/>
      <c r="DZ41" s="874"/>
      <c r="EA41" s="874"/>
    </row>
    <row r="42" spans="1:131" ht="20.25">
      <c r="A42" s="896" t="s">
        <v>704</v>
      </c>
      <c r="B42" s="884"/>
      <c r="C42" s="899"/>
      <c r="D42" s="909">
        <v>0</v>
      </c>
      <c r="E42" s="909">
        <v>0</v>
      </c>
      <c r="F42" s="886">
        <f t="shared" si="44"/>
        <v>0</v>
      </c>
      <c r="G42" s="884"/>
      <c r="H42" s="899"/>
      <c r="I42" s="909">
        <v>380471950</v>
      </c>
      <c r="J42" s="909">
        <v>955</v>
      </c>
      <c r="K42" s="886">
        <f t="shared" si="45"/>
        <v>33200</v>
      </c>
      <c r="L42" s="884"/>
      <c r="M42" s="899"/>
      <c r="N42" s="909">
        <v>281606982</v>
      </c>
      <c r="O42" s="909">
        <v>576</v>
      </c>
      <c r="P42" s="887">
        <f t="shared" si="46"/>
        <v>40742</v>
      </c>
      <c r="Q42" s="884"/>
      <c r="R42" s="911">
        <f>[6]LRZ!$I$10</f>
        <v>5545301.6299999999</v>
      </c>
      <c r="S42" s="912"/>
      <c r="T42" s="884"/>
      <c r="U42" s="911"/>
      <c r="V42" s="912"/>
      <c r="W42" s="884"/>
      <c r="X42" s="899"/>
      <c r="Y42" s="885">
        <f t="shared" si="52"/>
        <v>287152283.63</v>
      </c>
      <c r="Z42" s="885">
        <f t="shared" si="52"/>
        <v>576</v>
      </c>
      <c r="AA42" s="886">
        <f t="shared" si="47"/>
        <v>41544</v>
      </c>
      <c r="AB42" s="884"/>
      <c r="AC42" s="899"/>
      <c r="AD42" s="911">
        <f>[7]LRZ!$E$10</f>
        <v>224205882.88</v>
      </c>
      <c r="AE42" s="911">
        <f>'[7]výdaje mv+oOSS'!$E$43</f>
        <v>444</v>
      </c>
      <c r="AF42" s="886">
        <f t="shared" si="48"/>
        <v>42081</v>
      </c>
      <c r="AG42" s="884"/>
      <c r="AH42" s="911">
        <f>5805461.7-1513549.91</f>
        <v>4291911.79</v>
      </c>
      <c r="AI42" s="912"/>
      <c r="AJ42" s="884"/>
      <c r="AK42" s="911"/>
      <c r="AL42" s="912"/>
      <c r="AM42" s="884"/>
      <c r="AN42" s="911"/>
      <c r="AO42" s="912"/>
      <c r="AP42" s="884"/>
      <c r="AQ42" s="911"/>
      <c r="AR42" s="912"/>
      <c r="AS42" s="890"/>
      <c r="AT42" s="874"/>
      <c r="AU42" s="884"/>
      <c r="AV42" s="899"/>
      <c r="AW42" s="885">
        <f t="shared" si="53"/>
        <v>-57401099.120000005</v>
      </c>
      <c r="AX42" s="885">
        <f t="shared" si="53"/>
        <v>-132</v>
      </c>
      <c r="AY42" s="891"/>
      <c r="AZ42" s="904"/>
      <c r="BA42" s="892">
        <f t="shared" si="54"/>
        <v>79.616592347131515</v>
      </c>
      <c r="BB42" s="892">
        <f t="shared" si="54"/>
        <v>77.083333333333343</v>
      </c>
      <c r="BC42" s="884"/>
      <c r="BD42" s="899"/>
      <c r="BE42" s="885">
        <f t="shared" si="55"/>
        <v>-61693010.910000004</v>
      </c>
      <c r="BF42" s="885">
        <f t="shared" si="55"/>
        <v>-132</v>
      </c>
      <c r="BG42" s="893">
        <f t="shared" si="49"/>
        <v>0</v>
      </c>
      <c r="BH42" s="892">
        <f t="shared" si="50"/>
        <v>126.75</v>
      </c>
      <c r="BI42" s="894">
        <f t="shared" si="51"/>
        <v>103.28653477983407</v>
      </c>
      <c r="BJ42" s="895"/>
      <c r="BK42" s="874"/>
      <c r="BL42" s="884"/>
      <c r="BM42" s="899"/>
      <c r="BN42" s="885">
        <f t="shared" si="56"/>
        <v>-62946400.75</v>
      </c>
      <c r="BO42" s="885">
        <f t="shared" si="56"/>
        <v>-132</v>
      </c>
      <c r="BP42" s="884"/>
      <c r="BQ42" s="899"/>
      <c r="BR42" s="892">
        <f t="shared" si="57"/>
        <v>78.079087530048213</v>
      </c>
      <c r="BS42" s="894">
        <f t="shared" si="57"/>
        <v>77.083333333333343</v>
      </c>
      <c r="BT42" s="874"/>
      <c r="BU42" s="884"/>
      <c r="BV42" s="899"/>
      <c r="BW42" s="885">
        <f t="shared" si="58"/>
        <v>224205882.88</v>
      </c>
      <c r="BX42" s="885">
        <f t="shared" si="58"/>
        <v>444</v>
      </c>
      <c r="BY42" s="891"/>
      <c r="BZ42" s="904"/>
      <c r="CA42" s="892">
        <f t="shared" si="59"/>
        <v>0</v>
      </c>
      <c r="CB42" s="894">
        <f t="shared" si="59"/>
        <v>0</v>
      </c>
      <c r="CC42" s="874"/>
      <c r="CD42" s="874"/>
      <c r="CE42" s="874"/>
      <c r="CF42" s="874"/>
      <c r="CG42" s="874"/>
      <c r="CH42" s="874"/>
      <c r="CI42" s="874"/>
      <c r="CJ42" s="874"/>
      <c r="CK42" s="874"/>
      <c r="CL42" s="874"/>
      <c r="CM42" s="874"/>
      <c r="CN42" s="874"/>
      <c r="CO42" s="874"/>
      <c r="CP42" s="874"/>
      <c r="CQ42" s="874"/>
      <c r="CR42" s="874"/>
      <c r="CS42" s="874"/>
      <c r="CT42" s="874"/>
      <c r="CU42" s="874"/>
      <c r="CV42" s="874"/>
      <c r="CW42" s="874"/>
      <c r="CX42" s="874"/>
      <c r="CY42" s="874"/>
      <c r="CZ42" s="874"/>
      <c r="DA42" s="874"/>
      <c r="DB42" s="874"/>
      <c r="DC42" s="874"/>
      <c r="DD42" s="874"/>
      <c r="DE42" s="874"/>
      <c r="DF42" s="874"/>
      <c r="DG42" s="874"/>
      <c r="DH42" s="874"/>
      <c r="DI42" s="874"/>
      <c r="DJ42" s="874"/>
      <c r="DK42" s="874"/>
      <c r="DL42" s="874"/>
      <c r="DM42" s="874"/>
      <c r="DN42" s="874"/>
      <c r="DO42" s="874"/>
      <c r="DP42" s="874"/>
      <c r="DQ42" s="874"/>
      <c r="DR42" s="874"/>
      <c r="DS42" s="874"/>
      <c r="DT42" s="874"/>
      <c r="DU42" s="874"/>
      <c r="DV42" s="874"/>
      <c r="DW42" s="874"/>
      <c r="DX42" s="874"/>
      <c r="DY42" s="874"/>
      <c r="DZ42" s="874"/>
      <c r="EA42" s="874"/>
    </row>
    <row r="43" spans="1:131" s="850" customFormat="1" ht="20.25" hidden="1">
      <c r="A43" s="897" t="s">
        <v>705</v>
      </c>
      <c r="B43" s="888"/>
      <c r="C43" s="885"/>
      <c r="D43" s="909">
        <v>0</v>
      </c>
      <c r="E43" s="909">
        <v>0</v>
      </c>
      <c r="F43" s="886">
        <f t="shared" si="44"/>
        <v>0</v>
      </c>
      <c r="G43" s="888"/>
      <c r="H43" s="885"/>
      <c r="I43" s="909">
        <v>0</v>
      </c>
      <c r="J43" s="909">
        <v>0</v>
      </c>
      <c r="K43" s="886">
        <f t="shared" si="45"/>
        <v>0</v>
      </c>
      <c r="L43" s="888"/>
      <c r="M43" s="885"/>
      <c r="N43" s="909">
        <v>0</v>
      </c>
      <c r="O43" s="909">
        <v>0</v>
      </c>
      <c r="P43" s="887">
        <f t="shared" si="46"/>
        <v>0</v>
      </c>
      <c r="Q43" s="888"/>
      <c r="R43" s="911"/>
      <c r="S43" s="912"/>
      <c r="T43" s="888"/>
      <c r="U43" s="911"/>
      <c r="V43" s="912"/>
      <c r="W43" s="888"/>
      <c r="X43" s="885"/>
      <c r="Y43" s="885">
        <f t="shared" si="52"/>
        <v>0</v>
      </c>
      <c r="Z43" s="885">
        <f t="shared" si="52"/>
        <v>0</v>
      </c>
      <c r="AA43" s="886">
        <f t="shared" si="47"/>
        <v>0</v>
      </c>
      <c r="AB43" s="888"/>
      <c r="AC43" s="885"/>
      <c r="AD43" s="911"/>
      <c r="AE43" s="911"/>
      <c r="AF43" s="886">
        <f t="shared" si="48"/>
        <v>0</v>
      </c>
      <c r="AG43" s="888"/>
      <c r="AH43" s="911"/>
      <c r="AI43" s="912"/>
      <c r="AJ43" s="888"/>
      <c r="AK43" s="911"/>
      <c r="AL43" s="912"/>
      <c r="AM43" s="888"/>
      <c r="AN43" s="911"/>
      <c r="AO43" s="912"/>
      <c r="AP43" s="888"/>
      <c r="AQ43" s="911"/>
      <c r="AR43" s="912"/>
      <c r="AS43" s="890"/>
      <c r="AT43" s="874"/>
      <c r="AU43" s="888"/>
      <c r="AV43" s="885"/>
      <c r="AW43" s="885">
        <f t="shared" si="53"/>
        <v>0</v>
      </c>
      <c r="AX43" s="885">
        <f t="shared" si="53"/>
        <v>0</v>
      </c>
      <c r="AY43" s="893"/>
      <c r="AZ43" s="892"/>
      <c r="BA43" s="892">
        <f t="shared" si="54"/>
        <v>0</v>
      </c>
      <c r="BB43" s="892">
        <f t="shared" si="54"/>
        <v>0</v>
      </c>
      <c r="BC43" s="888"/>
      <c r="BD43" s="885"/>
      <c r="BE43" s="885">
        <f t="shared" si="55"/>
        <v>0</v>
      </c>
      <c r="BF43" s="885">
        <f t="shared" si="55"/>
        <v>0</v>
      </c>
      <c r="BG43" s="893">
        <f t="shared" si="49"/>
        <v>0</v>
      </c>
      <c r="BH43" s="892">
        <f t="shared" si="50"/>
        <v>0</v>
      </c>
      <c r="BI43" s="894">
        <f t="shared" si="51"/>
        <v>0</v>
      </c>
      <c r="BJ43" s="895"/>
      <c r="BK43" s="874"/>
      <c r="BL43" s="888"/>
      <c r="BM43" s="885"/>
      <c r="BN43" s="885">
        <f t="shared" si="56"/>
        <v>0</v>
      </c>
      <c r="BO43" s="885">
        <f t="shared" si="56"/>
        <v>0</v>
      </c>
      <c r="BP43" s="888"/>
      <c r="BQ43" s="885"/>
      <c r="BR43" s="892">
        <f t="shared" si="57"/>
        <v>0</v>
      </c>
      <c r="BS43" s="894">
        <f t="shared" si="57"/>
        <v>0</v>
      </c>
      <c r="BT43" s="874"/>
      <c r="BU43" s="888"/>
      <c r="BV43" s="885"/>
      <c r="BW43" s="885">
        <f t="shared" si="58"/>
        <v>0</v>
      </c>
      <c r="BX43" s="885">
        <f t="shared" si="58"/>
        <v>0</v>
      </c>
      <c r="BY43" s="893"/>
      <c r="BZ43" s="892"/>
      <c r="CA43" s="892">
        <f t="shared" si="59"/>
        <v>0</v>
      </c>
      <c r="CB43" s="894">
        <f t="shared" si="59"/>
        <v>0</v>
      </c>
      <c r="CC43" s="874"/>
      <c r="CD43" s="874"/>
      <c r="CE43" s="874"/>
      <c r="CF43" s="874"/>
      <c r="CG43" s="874"/>
      <c r="CH43" s="874"/>
      <c r="CI43" s="874"/>
      <c r="CJ43" s="874"/>
      <c r="CK43" s="874"/>
      <c r="CL43" s="874"/>
      <c r="CM43" s="874"/>
      <c r="CN43" s="874"/>
      <c r="CO43" s="874"/>
      <c r="CP43" s="874"/>
      <c r="CQ43" s="874"/>
      <c r="CR43" s="874"/>
      <c r="CS43" s="874"/>
      <c r="CT43" s="874"/>
      <c r="CU43" s="874"/>
      <c r="CV43" s="874"/>
      <c r="CW43" s="874"/>
      <c r="CX43" s="874"/>
      <c r="CY43" s="874"/>
      <c r="CZ43" s="874"/>
      <c r="DA43" s="874"/>
      <c r="DB43" s="874"/>
      <c r="DC43" s="874"/>
      <c r="DD43" s="874"/>
      <c r="DE43" s="874"/>
      <c r="DF43" s="874"/>
      <c r="DG43" s="874"/>
      <c r="DH43" s="874"/>
      <c r="DI43" s="874"/>
      <c r="DJ43" s="874"/>
      <c r="DK43" s="874"/>
      <c r="DL43" s="874"/>
      <c r="DM43" s="874"/>
      <c r="DN43" s="874"/>
      <c r="DO43" s="874"/>
      <c r="DP43" s="874"/>
      <c r="DQ43" s="874"/>
      <c r="DR43" s="874"/>
      <c r="DS43" s="874"/>
      <c r="DT43" s="874"/>
      <c r="DU43" s="874"/>
      <c r="DV43" s="874"/>
      <c r="DW43" s="874"/>
      <c r="DX43" s="874"/>
      <c r="DY43" s="874"/>
      <c r="DZ43" s="874"/>
      <c r="EA43" s="874"/>
    </row>
    <row r="44" spans="1:131" ht="20.25">
      <c r="A44" s="896" t="s">
        <v>706</v>
      </c>
      <c r="B44" s="884"/>
      <c r="C44" s="909">
        <v>1182917</v>
      </c>
      <c r="D44" s="899"/>
      <c r="E44" s="899"/>
      <c r="F44" s="902"/>
      <c r="G44" s="884"/>
      <c r="H44" s="909">
        <v>1292800</v>
      </c>
      <c r="I44" s="899"/>
      <c r="J44" s="899"/>
      <c r="K44" s="902"/>
      <c r="L44" s="884"/>
      <c r="M44" s="909">
        <v>1292800</v>
      </c>
      <c r="N44" s="899"/>
      <c r="O44" s="899"/>
      <c r="P44" s="907"/>
      <c r="Q44" s="910">
        <v>0</v>
      </c>
      <c r="R44" s="899"/>
      <c r="S44" s="902"/>
      <c r="T44" s="910"/>
      <c r="U44" s="899"/>
      <c r="V44" s="902"/>
      <c r="W44" s="884"/>
      <c r="X44" s="885">
        <f>M44+Q44-T44</f>
        <v>1292800</v>
      </c>
      <c r="Y44" s="899"/>
      <c r="Z44" s="899"/>
      <c r="AA44" s="902"/>
      <c r="AB44" s="884"/>
      <c r="AC44" s="911">
        <v>1405200</v>
      </c>
      <c r="AD44" s="899"/>
      <c r="AE44" s="899"/>
      <c r="AF44" s="902"/>
      <c r="AG44" s="910">
        <v>112400</v>
      </c>
      <c r="AH44" s="899"/>
      <c r="AI44" s="902"/>
      <c r="AJ44" s="910">
        <v>0</v>
      </c>
      <c r="AK44" s="899"/>
      <c r="AL44" s="902"/>
      <c r="AM44" s="910"/>
      <c r="AN44" s="899"/>
      <c r="AO44" s="902"/>
      <c r="AP44" s="910"/>
      <c r="AQ44" s="899"/>
      <c r="AR44" s="902"/>
      <c r="AS44" s="903"/>
      <c r="AT44" s="874"/>
      <c r="AU44" s="884"/>
      <c r="AV44" s="885">
        <f>AC44-M44</f>
        <v>112400</v>
      </c>
      <c r="AW44" s="899"/>
      <c r="AX44" s="899"/>
      <c r="AY44" s="891"/>
      <c r="AZ44" s="892">
        <f>IF(M44=0,0,AC44/M44*100)</f>
        <v>108.69430693069306</v>
      </c>
      <c r="BA44" s="904"/>
      <c r="BB44" s="904"/>
      <c r="BC44" s="884"/>
      <c r="BD44" s="885">
        <f>AC44-M44-AG44-AJ44-AM44-AP44</f>
        <v>0</v>
      </c>
      <c r="BE44" s="899"/>
      <c r="BF44" s="899"/>
      <c r="BG44" s="884"/>
      <c r="BH44" s="899"/>
      <c r="BI44" s="902"/>
      <c r="BJ44" s="905"/>
      <c r="BK44" s="874"/>
      <c r="BL44" s="884"/>
      <c r="BM44" s="885">
        <f>AC44-X44</f>
        <v>112400</v>
      </c>
      <c r="BN44" s="899"/>
      <c r="BO44" s="899"/>
      <c r="BP44" s="884"/>
      <c r="BQ44" s="892">
        <f>IF(X44=0,0,AC44/X44*100)</f>
        <v>108.69430693069306</v>
      </c>
      <c r="BR44" s="899"/>
      <c r="BS44" s="902"/>
      <c r="BT44" s="874"/>
      <c r="BU44" s="884"/>
      <c r="BV44" s="885">
        <f>AC44-C44</f>
        <v>222283</v>
      </c>
      <c r="BW44" s="899"/>
      <c r="BX44" s="899"/>
      <c r="BY44" s="891"/>
      <c r="BZ44" s="892">
        <f>IF(C44=0,0,AC44/C44*100)</f>
        <v>118.79109016101721</v>
      </c>
      <c r="CA44" s="904"/>
      <c r="CB44" s="906"/>
      <c r="CC44" s="874"/>
      <c r="CD44" s="874"/>
      <c r="CE44" s="874"/>
      <c r="CF44" s="874"/>
      <c r="CG44" s="874"/>
      <c r="CH44" s="874"/>
      <c r="CI44" s="874"/>
      <c r="CJ44" s="874"/>
      <c r="CK44" s="874"/>
      <c r="CL44" s="874"/>
      <c r="CM44" s="874"/>
      <c r="CN44" s="874"/>
      <c r="CO44" s="874"/>
      <c r="CP44" s="874"/>
      <c r="CQ44" s="874"/>
      <c r="CR44" s="874"/>
      <c r="CS44" s="874"/>
      <c r="CT44" s="874"/>
      <c r="CU44" s="874"/>
      <c r="CV44" s="874"/>
      <c r="CW44" s="874"/>
      <c r="CX44" s="874"/>
      <c r="CY44" s="874"/>
      <c r="CZ44" s="874"/>
      <c r="DA44" s="874"/>
      <c r="DB44" s="874"/>
      <c r="DC44" s="874"/>
      <c r="DD44" s="874"/>
      <c r="DE44" s="874"/>
      <c r="DF44" s="874"/>
      <c r="DG44" s="874"/>
      <c r="DH44" s="874"/>
      <c r="DI44" s="874"/>
      <c r="DJ44" s="874"/>
      <c r="DK44" s="874"/>
      <c r="DL44" s="874"/>
      <c r="DM44" s="874"/>
      <c r="DN44" s="874"/>
      <c r="DO44" s="874"/>
      <c r="DP44" s="874"/>
      <c r="DQ44" s="874"/>
      <c r="DR44" s="874"/>
      <c r="DS44" s="874"/>
      <c r="DT44" s="874"/>
      <c r="DU44" s="874"/>
      <c r="DV44" s="874"/>
      <c r="DW44" s="874"/>
      <c r="DX44" s="874"/>
      <c r="DY44" s="874"/>
      <c r="DZ44" s="874"/>
      <c r="EA44" s="874"/>
    </row>
    <row r="45" spans="1:131" s="882" customFormat="1" ht="20.25">
      <c r="A45" s="908" t="s">
        <v>710</v>
      </c>
      <c r="B45" s="888">
        <f>C45+D45</f>
        <v>332032242</v>
      </c>
      <c r="C45" s="885">
        <f>C54+C62+C70+C78+C86+C94+C102</f>
        <v>16770446</v>
      </c>
      <c r="D45" s="885">
        <f>D54+D62+D70+D78+D86+D94+D102</f>
        <v>315261796</v>
      </c>
      <c r="E45" s="885">
        <f>E54+E62+E70+E78+E86+E94+E102</f>
        <v>1127</v>
      </c>
      <c r="F45" s="886">
        <f t="shared" ref="F45:F51" si="60">IF(E45=0,0,ROUND(D45/E45/12,0))</f>
        <v>23311</v>
      </c>
      <c r="G45" s="888">
        <f>H45+I45</f>
        <v>341607725</v>
      </c>
      <c r="H45" s="885">
        <f>H54+H62+H70+H78+H86+H94+H102</f>
        <v>14374270</v>
      </c>
      <c r="I45" s="885">
        <f>I54+I62+I70+I78+I86+I94+I102</f>
        <v>327233455</v>
      </c>
      <c r="J45" s="885">
        <f>J54+J62+J70+J78+J86+J94+J102</f>
        <v>1192</v>
      </c>
      <c r="K45" s="886">
        <f t="shared" ref="K45:K51" si="61">IF(J45=0,0,ROUND(I45/J45/12,0))</f>
        <v>22877</v>
      </c>
      <c r="L45" s="888">
        <f>M45+N45</f>
        <v>362121924</v>
      </c>
      <c r="M45" s="885">
        <f>M54+M62+M70+M78+M86+M94+M102</f>
        <v>16721120</v>
      </c>
      <c r="N45" s="885">
        <f>N54+N62+N70+N78+N86+N94+N102</f>
        <v>345400804</v>
      </c>
      <c r="O45" s="885">
        <f>O54+O62+O70+O78+O86+O94+O102</f>
        <v>1171</v>
      </c>
      <c r="P45" s="887">
        <f t="shared" ref="P45:P51" si="62">IF(O45=0,0,ROUND(N45/O45/12,0))</f>
        <v>24580</v>
      </c>
      <c r="Q45" s="888">
        <f t="shared" ref="Q45:V51" si="63">Q54+Q62+Q70+Q78+Q86+Q94+Q102</f>
        <v>815583</v>
      </c>
      <c r="R45" s="885">
        <f t="shared" si="63"/>
        <v>6885757.9800000004</v>
      </c>
      <c r="S45" s="889">
        <f t="shared" si="63"/>
        <v>0</v>
      </c>
      <c r="T45" s="888">
        <f t="shared" si="63"/>
        <v>0</v>
      </c>
      <c r="U45" s="885">
        <f t="shared" si="63"/>
        <v>0</v>
      </c>
      <c r="V45" s="889">
        <f t="shared" si="63"/>
        <v>0</v>
      </c>
      <c r="W45" s="888">
        <f>X45+Y45</f>
        <v>369823264.98000002</v>
      </c>
      <c r="X45" s="885">
        <f>X54+X62+X70+X78+X86+X94+X102</f>
        <v>17536703</v>
      </c>
      <c r="Y45" s="885">
        <f>Y54+Y62+Y70+Y78+Y86+Y94+Y102</f>
        <v>352286561.98000002</v>
      </c>
      <c r="Z45" s="885">
        <f>Z54+Z62+Z70+Z78+Z86+Z94+Z102</f>
        <v>1171</v>
      </c>
      <c r="AA45" s="886">
        <f t="shared" ref="AA45:AA51" si="64">IF(Z45=0,0,ROUND(Y45/Z45/12,0))</f>
        <v>25070</v>
      </c>
      <c r="AB45" s="888">
        <f>AC45+AD45</f>
        <v>362182420.96000004</v>
      </c>
      <c r="AC45" s="885">
        <f>AC54+AC62+AC70+AC78+AC86+AC94+AC102</f>
        <v>14999154</v>
      </c>
      <c r="AD45" s="885">
        <f>AD54+AD62+AD70+AD78+AD86+AD94+AD102</f>
        <v>347183266.96000004</v>
      </c>
      <c r="AE45" s="885">
        <f>AE54+AE62+AE70+AE78+AE86+AE94+AE102</f>
        <v>1137</v>
      </c>
      <c r="AF45" s="886">
        <f t="shared" ref="AF45:AF51" si="65">IF(AE45=0,0,ROUND(AD45/AE45/12,0))</f>
        <v>25446</v>
      </c>
      <c r="AG45" s="888">
        <f t="shared" ref="AG45:AR51" si="66">AG54+AG62+AG70+AG78+AG86+AG94+AG102</f>
        <v>473155</v>
      </c>
      <c r="AH45" s="885">
        <f t="shared" si="66"/>
        <v>6259936.7800000003</v>
      </c>
      <c r="AI45" s="889">
        <f t="shared" si="66"/>
        <v>0</v>
      </c>
      <c r="AJ45" s="888">
        <f t="shared" si="66"/>
        <v>1986150</v>
      </c>
      <c r="AK45" s="885">
        <f t="shared" si="66"/>
        <v>558000</v>
      </c>
      <c r="AL45" s="889">
        <f t="shared" si="66"/>
        <v>0</v>
      </c>
      <c r="AM45" s="888">
        <f t="shared" si="66"/>
        <v>0</v>
      </c>
      <c r="AN45" s="885">
        <f t="shared" si="66"/>
        <v>0</v>
      </c>
      <c r="AO45" s="889">
        <f t="shared" si="66"/>
        <v>0</v>
      </c>
      <c r="AP45" s="888">
        <f t="shared" si="66"/>
        <v>0</v>
      </c>
      <c r="AQ45" s="885">
        <f t="shared" si="66"/>
        <v>0</v>
      </c>
      <c r="AR45" s="889">
        <f t="shared" si="66"/>
        <v>0</v>
      </c>
      <c r="AS45" s="890"/>
      <c r="AT45" s="874"/>
      <c r="AU45" s="888">
        <f>AV45+AW45</f>
        <v>60496.960000008345</v>
      </c>
      <c r="AV45" s="885">
        <f>AV54+AV62+AV70+AV78+AV86+AV94+AV102</f>
        <v>-1721966</v>
      </c>
      <c r="AW45" s="885">
        <f>AW54+AW62+AW70+AW78+AW86+AW94+AW102</f>
        <v>1782462.9600000083</v>
      </c>
      <c r="AX45" s="885">
        <f>AX54+AX62+AX70+AX78+AX86+AX94+AX102</f>
        <v>-34</v>
      </c>
      <c r="AY45" s="893">
        <f>IF(L45=0,0,AB45/L45*100)</f>
        <v>100.01670624063073</v>
      </c>
      <c r="AZ45" s="892">
        <f>IF(M45=0,0,AC45/M45*100)</f>
        <v>89.701850115303287</v>
      </c>
      <c r="BA45" s="892">
        <f t="shared" ref="BA45:BB51" si="67">IF(N45=0,0,AD45/N45*100)</f>
        <v>100.51605640153636</v>
      </c>
      <c r="BB45" s="892">
        <f t="shared" si="67"/>
        <v>97.096498719043552</v>
      </c>
      <c r="BC45" s="888">
        <f>BD45+BE45</f>
        <v>-9216744.8199999928</v>
      </c>
      <c r="BD45" s="885">
        <f>BD54+BD62+BD70+BD78+BD86+BD94+BD102</f>
        <v>-4181271</v>
      </c>
      <c r="BE45" s="885">
        <f>BE54+BE62+BE70+BE78+BE86+BE94+BE102</f>
        <v>-5035473.8199999919</v>
      </c>
      <c r="BF45" s="885">
        <f>BF54+BF62+BF70+BF78+BF86+BF94+BF102</f>
        <v>-34</v>
      </c>
      <c r="BG45" s="893">
        <f t="shared" ref="BG45:BG51" si="68">IF(F45=0,0,AF45/F45*100)</f>
        <v>109.15876624769423</v>
      </c>
      <c r="BH45" s="892">
        <f t="shared" ref="BH45:BH51" si="69">IF(K45=0,0,AF45/K45*100)</f>
        <v>111.22961926826069</v>
      </c>
      <c r="BI45" s="894">
        <f t="shared" ref="BI45:BI51" si="70">IF(P45=0,0,AF45/P45*100)</f>
        <v>103.52318958502849</v>
      </c>
      <c r="BJ45" s="895"/>
      <c r="BK45" s="874"/>
      <c r="BL45" s="888">
        <f>BM45+BN45</f>
        <v>-7640844.0199999809</v>
      </c>
      <c r="BM45" s="885">
        <f>BM54+BM62+BM70+BM78+BM86+BM94+BM102</f>
        <v>-2537549</v>
      </c>
      <c r="BN45" s="885">
        <f>BN54+BN62+BN70+BN78+BN86+BN94+BN102</f>
        <v>-5103295.0199999809</v>
      </c>
      <c r="BO45" s="885">
        <f>BO54+BO62+BO70+BO78+BO86+BO94+BO102</f>
        <v>-34</v>
      </c>
      <c r="BP45" s="893">
        <f>IF(W45=0,0,AB45/W45*100)</f>
        <v>97.933920133333643</v>
      </c>
      <c r="BQ45" s="892">
        <f>IF(X45=0,0,AC45/X45*100)</f>
        <v>85.530067995107174</v>
      </c>
      <c r="BR45" s="892">
        <f t="shared" ref="BR45:BS51" si="71">IF(Y45=0,0,AD45/Y45*100)</f>
        <v>98.551379595259817</v>
      </c>
      <c r="BS45" s="894">
        <f t="shared" si="71"/>
        <v>97.096498719043552</v>
      </c>
      <c r="BT45" s="874"/>
      <c r="BU45" s="888">
        <f>BV45+BW45</f>
        <v>30150178.960000008</v>
      </c>
      <c r="BV45" s="885">
        <f>BV54+BV62+BV70+BV78+BV86+BV94+BV102</f>
        <v>-1771292</v>
      </c>
      <c r="BW45" s="885">
        <f>BW54+BW62+BW70+BW78+BW86+BW94+BW102</f>
        <v>31921470.960000008</v>
      </c>
      <c r="BX45" s="885">
        <f>BX54+BX62+BX70+BX78+BX86+BX94+BX102</f>
        <v>10</v>
      </c>
      <c r="BY45" s="893">
        <f>IF(B45=0,0,AB45/B45*100)</f>
        <v>109.0804973572416</v>
      </c>
      <c r="BZ45" s="892">
        <f>IF(C45=0,0,AC45/C45*100)</f>
        <v>89.438014946054494</v>
      </c>
      <c r="CA45" s="892">
        <f t="shared" ref="CA45:CB51" si="72">IF(D45=0,0,AD45/D45*100)</f>
        <v>110.12538511326633</v>
      </c>
      <c r="CB45" s="894">
        <f t="shared" si="72"/>
        <v>100.88731144631767</v>
      </c>
      <c r="CC45" s="874"/>
      <c r="CD45" s="874"/>
      <c r="CE45" s="874"/>
      <c r="CF45" s="874"/>
      <c r="CG45" s="874"/>
      <c r="CH45" s="874"/>
      <c r="CI45" s="874"/>
      <c r="CJ45" s="874"/>
      <c r="CK45" s="874"/>
      <c r="CL45" s="874"/>
      <c r="CM45" s="874"/>
      <c r="CN45" s="874"/>
      <c r="CO45" s="874"/>
      <c r="CP45" s="874"/>
      <c r="CQ45" s="874"/>
      <c r="CR45" s="874"/>
      <c r="CS45" s="874"/>
      <c r="CT45" s="874"/>
      <c r="CU45" s="874"/>
      <c r="CV45" s="874"/>
      <c r="CW45" s="874"/>
      <c r="CX45" s="874"/>
      <c r="CY45" s="874"/>
      <c r="CZ45" s="874"/>
      <c r="DA45" s="874"/>
      <c r="DB45" s="874"/>
      <c r="DC45" s="874"/>
      <c r="DD45" s="874"/>
      <c r="DE45" s="874"/>
      <c r="DF45" s="874"/>
      <c r="DG45" s="874"/>
      <c r="DH45" s="874"/>
      <c r="DI45" s="874"/>
      <c r="DJ45" s="874"/>
      <c r="DK45" s="874"/>
      <c r="DL45" s="874"/>
      <c r="DM45" s="874"/>
      <c r="DN45" s="874"/>
      <c r="DO45" s="874"/>
      <c r="DP45" s="874"/>
      <c r="DQ45" s="874"/>
      <c r="DR45" s="874"/>
      <c r="DS45" s="874"/>
      <c r="DT45" s="874"/>
      <c r="DU45" s="874"/>
      <c r="DV45" s="874"/>
      <c r="DW45" s="874"/>
      <c r="DX45" s="874"/>
      <c r="DY45" s="874"/>
      <c r="DZ45" s="874"/>
      <c r="EA45" s="874"/>
    </row>
    <row r="46" spans="1:131" s="915" customFormat="1" ht="20.25" hidden="1">
      <c r="A46" s="883" t="s">
        <v>700</v>
      </c>
      <c r="B46" s="884"/>
      <c r="C46" s="899"/>
      <c r="D46" s="899">
        <f t="shared" ref="D46:E51" si="73">D55+D63+D71+D79+D87+D95+D103</f>
        <v>315261796</v>
      </c>
      <c r="E46" s="899">
        <f t="shared" si="73"/>
        <v>1127</v>
      </c>
      <c r="F46" s="886">
        <f t="shared" si="60"/>
        <v>23311</v>
      </c>
      <c r="G46" s="884"/>
      <c r="H46" s="899"/>
      <c r="I46" s="899">
        <f t="shared" ref="I46:J51" si="74">I55+I63+I71+I79+I87+I95+I103</f>
        <v>240864777</v>
      </c>
      <c r="J46" s="899">
        <f t="shared" si="74"/>
        <v>919</v>
      </c>
      <c r="K46" s="886">
        <f t="shared" si="61"/>
        <v>21841</v>
      </c>
      <c r="L46" s="884"/>
      <c r="M46" s="899"/>
      <c r="N46" s="899">
        <f t="shared" ref="N46:O51" si="75">N55+N63+N71+N79+N87+N95+N103</f>
        <v>249489109</v>
      </c>
      <c r="O46" s="899">
        <f t="shared" si="75"/>
        <v>899</v>
      </c>
      <c r="P46" s="887">
        <f t="shared" si="62"/>
        <v>23127</v>
      </c>
      <c r="Q46" s="884"/>
      <c r="R46" s="899">
        <f t="shared" si="63"/>
        <v>4875757.9800000004</v>
      </c>
      <c r="S46" s="902">
        <f t="shared" si="63"/>
        <v>0</v>
      </c>
      <c r="T46" s="884"/>
      <c r="U46" s="899">
        <f t="shared" si="63"/>
        <v>0</v>
      </c>
      <c r="V46" s="902">
        <f t="shared" si="63"/>
        <v>0</v>
      </c>
      <c r="W46" s="884"/>
      <c r="X46" s="899"/>
      <c r="Y46" s="899">
        <f t="shared" ref="Y46:Z51" si="76">Y55+Y63+Y71+Y79+Y87+Y95+Y103</f>
        <v>254364866.97999999</v>
      </c>
      <c r="Z46" s="899">
        <f t="shared" si="76"/>
        <v>899</v>
      </c>
      <c r="AA46" s="886">
        <f t="shared" si="64"/>
        <v>23579</v>
      </c>
      <c r="AB46" s="884"/>
      <c r="AC46" s="899"/>
      <c r="AD46" s="899">
        <f t="shared" ref="AD46:AE51" si="77">AD55+AD63+AD71+AD79+AD87+AD95+AD103</f>
        <v>252899287.52000001</v>
      </c>
      <c r="AE46" s="899">
        <f t="shared" si="77"/>
        <v>881</v>
      </c>
      <c r="AF46" s="886">
        <f t="shared" si="65"/>
        <v>23922</v>
      </c>
      <c r="AG46" s="884"/>
      <c r="AH46" s="899">
        <f t="shared" si="66"/>
        <v>4746386.87</v>
      </c>
      <c r="AI46" s="902">
        <f t="shared" si="66"/>
        <v>0</v>
      </c>
      <c r="AJ46" s="884"/>
      <c r="AK46" s="899">
        <f t="shared" si="66"/>
        <v>558000</v>
      </c>
      <c r="AL46" s="902">
        <f t="shared" si="66"/>
        <v>0</v>
      </c>
      <c r="AM46" s="884"/>
      <c r="AN46" s="899">
        <f t="shared" si="66"/>
        <v>0</v>
      </c>
      <c r="AO46" s="902">
        <f t="shared" si="66"/>
        <v>0</v>
      </c>
      <c r="AP46" s="884"/>
      <c r="AQ46" s="899">
        <f t="shared" si="66"/>
        <v>0</v>
      </c>
      <c r="AR46" s="902">
        <f t="shared" si="66"/>
        <v>0</v>
      </c>
      <c r="AS46" s="903"/>
      <c r="AT46" s="874"/>
      <c r="AU46" s="884"/>
      <c r="AV46" s="899"/>
      <c r="AW46" s="899">
        <f t="shared" ref="AW46:AX51" si="78">AW55+AW63+AW71+AW79+AW87+AW95+AW103</f>
        <v>3410178.5200000107</v>
      </c>
      <c r="AX46" s="899">
        <f t="shared" si="78"/>
        <v>-18</v>
      </c>
      <c r="AY46" s="891"/>
      <c r="AZ46" s="904"/>
      <c r="BA46" s="904">
        <f t="shared" si="67"/>
        <v>101.36686468345999</v>
      </c>
      <c r="BB46" s="904">
        <f t="shared" si="67"/>
        <v>97.997775305895445</v>
      </c>
      <c r="BC46" s="884"/>
      <c r="BD46" s="899"/>
      <c r="BE46" s="899">
        <f t="shared" ref="BE46:BF51" si="79">BE55+BE63+BE71+BE79+BE87+BE95+BE103</f>
        <v>-1894208.3499999894</v>
      </c>
      <c r="BF46" s="899">
        <f t="shared" si="79"/>
        <v>-18</v>
      </c>
      <c r="BG46" s="891">
        <f t="shared" si="68"/>
        <v>102.62108017674059</v>
      </c>
      <c r="BH46" s="904">
        <f t="shared" si="69"/>
        <v>109.52795201684904</v>
      </c>
      <c r="BI46" s="906">
        <f t="shared" si="70"/>
        <v>103.43754053703465</v>
      </c>
      <c r="BJ46" s="905"/>
      <c r="BK46" s="874"/>
      <c r="BL46" s="884"/>
      <c r="BM46" s="899"/>
      <c r="BN46" s="899">
        <f t="shared" ref="BN46:BO51" si="80">BN55+BN63+BN71+BN79+BN87+BN95+BN103</f>
        <v>-1465579.4599999785</v>
      </c>
      <c r="BO46" s="899">
        <f t="shared" si="80"/>
        <v>-18</v>
      </c>
      <c r="BP46" s="884"/>
      <c r="BQ46" s="899"/>
      <c r="BR46" s="904">
        <f t="shared" si="71"/>
        <v>99.423827874737427</v>
      </c>
      <c r="BS46" s="906">
        <f t="shared" si="71"/>
        <v>97.997775305895445</v>
      </c>
      <c r="BT46" s="874"/>
      <c r="BU46" s="884"/>
      <c r="BV46" s="899"/>
      <c r="BW46" s="899">
        <f t="shared" ref="BW46:BX51" si="81">BW55+BW63+BW71+BW79+BW87+BW95+BW103</f>
        <v>-62362508.479999989</v>
      </c>
      <c r="BX46" s="899">
        <f t="shared" si="81"/>
        <v>-246</v>
      </c>
      <c r="BY46" s="891"/>
      <c r="BZ46" s="904"/>
      <c r="CA46" s="904">
        <f t="shared" si="72"/>
        <v>80.218818368972308</v>
      </c>
      <c r="CB46" s="906">
        <f t="shared" si="72"/>
        <v>78.172138420585625</v>
      </c>
      <c r="CC46" s="874"/>
      <c r="CD46" s="874"/>
      <c r="CE46" s="874"/>
      <c r="CF46" s="874"/>
      <c r="CG46" s="874"/>
      <c r="CH46" s="874"/>
      <c r="CI46" s="874"/>
      <c r="CJ46" s="874"/>
      <c r="CK46" s="874"/>
      <c r="CL46" s="874"/>
      <c r="CM46" s="874"/>
      <c r="CN46" s="874"/>
      <c r="CO46" s="874"/>
      <c r="CP46" s="874"/>
      <c r="CQ46" s="874"/>
      <c r="CR46" s="874"/>
      <c r="CS46" s="874"/>
      <c r="CT46" s="874"/>
      <c r="CU46" s="874"/>
      <c r="CV46" s="874"/>
      <c r="CW46" s="874"/>
      <c r="CX46" s="874"/>
      <c r="CY46" s="874"/>
      <c r="CZ46" s="874"/>
      <c r="DA46" s="874"/>
      <c r="DB46" s="874"/>
      <c r="DC46" s="874"/>
      <c r="DD46" s="874"/>
      <c r="DE46" s="874"/>
      <c r="DF46" s="874"/>
      <c r="DG46" s="874"/>
      <c r="DH46" s="874"/>
      <c r="DI46" s="874"/>
      <c r="DJ46" s="874"/>
      <c r="DK46" s="874"/>
      <c r="DL46" s="874"/>
      <c r="DM46" s="874"/>
      <c r="DN46" s="874"/>
      <c r="DO46" s="874"/>
      <c r="DP46" s="874"/>
      <c r="DQ46" s="874"/>
      <c r="DR46" s="874"/>
      <c r="DS46" s="874"/>
      <c r="DT46" s="874"/>
      <c r="DU46" s="874"/>
      <c r="DV46" s="874"/>
      <c r="DW46" s="874"/>
      <c r="DX46" s="874"/>
      <c r="DY46" s="874"/>
      <c r="DZ46" s="874"/>
      <c r="EA46" s="874"/>
    </row>
    <row r="47" spans="1:131" s="915" customFormat="1" ht="20.25" hidden="1">
      <c r="A47" s="896" t="s">
        <v>701</v>
      </c>
      <c r="B47" s="884"/>
      <c r="C47" s="899"/>
      <c r="D47" s="899">
        <f>D56+D64+D72+D80+D88+D96+D104</f>
        <v>0</v>
      </c>
      <c r="E47" s="899">
        <f t="shared" si="73"/>
        <v>0</v>
      </c>
      <c r="F47" s="886">
        <f t="shared" si="60"/>
        <v>0</v>
      </c>
      <c r="G47" s="884"/>
      <c r="H47" s="899"/>
      <c r="I47" s="899">
        <f t="shared" si="74"/>
        <v>0</v>
      </c>
      <c r="J47" s="899">
        <f t="shared" si="74"/>
        <v>0</v>
      </c>
      <c r="K47" s="886">
        <f t="shared" si="61"/>
        <v>0</v>
      </c>
      <c r="L47" s="884"/>
      <c r="M47" s="899"/>
      <c r="N47" s="899">
        <f t="shared" si="75"/>
        <v>0</v>
      </c>
      <c r="O47" s="899">
        <f t="shared" si="75"/>
        <v>0</v>
      </c>
      <c r="P47" s="887">
        <f t="shared" si="62"/>
        <v>0</v>
      </c>
      <c r="Q47" s="884"/>
      <c r="R47" s="899">
        <f t="shared" si="63"/>
        <v>0</v>
      </c>
      <c r="S47" s="902">
        <f t="shared" si="63"/>
        <v>0</v>
      </c>
      <c r="T47" s="884"/>
      <c r="U47" s="899">
        <f t="shared" si="63"/>
        <v>0</v>
      </c>
      <c r="V47" s="902">
        <f t="shared" si="63"/>
        <v>0</v>
      </c>
      <c r="W47" s="884"/>
      <c r="X47" s="899"/>
      <c r="Y47" s="899">
        <f t="shared" si="76"/>
        <v>0</v>
      </c>
      <c r="Z47" s="899">
        <f t="shared" si="76"/>
        <v>0</v>
      </c>
      <c r="AA47" s="886">
        <f t="shared" si="64"/>
        <v>0</v>
      </c>
      <c r="AB47" s="884"/>
      <c r="AC47" s="899"/>
      <c r="AD47" s="899">
        <f t="shared" si="77"/>
        <v>0</v>
      </c>
      <c r="AE47" s="899">
        <f t="shared" si="77"/>
        <v>0</v>
      </c>
      <c r="AF47" s="886">
        <f t="shared" si="65"/>
        <v>0</v>
      </c>
      <c r="AG47" s="884"/>
      <c r="AH47" s="899">
        <f t="shared" si="66"/>
        <v>0</v>
      </c>
      <c r="AI47" s="902">
        <f t="shared" si="66"/>
        <v>0</v>
      </c>
      <c r="AJ47" s="884"/>
      <c r="AK47" s="899">
        <f t="shared" si="66"/>
        <v>0</v>
      </c>
      <c r="AL47" s="902">
        <f t="shared" si="66"/>
        <v>0</v>
      </c>
      <c r="AM47" s="884"/>
      <c r="AN47" s="899">
        <f t="shared" si="66"/>
        <v>0</v>
      </c>
      <c r="AO47" s="902">
        <f t="shared" si="66"/>
        <v>0</v>
      </c>
      <c r="AP47" s="884"/>
      <c r="AQ47" s="899">
        <f t="shared" si="66"/>
        <v>0</v>
      </c>
      <c r="AR47" s="902">
        <f t="shared" si="66"/>
        <v>0</v>
      </c>
      <c r="AS47" s="903"/>
      <c r="AT47" s="874"/>
      <c r="AU47" s="884"/>
      <c r="AV47" s="899"/>
      <c r="AW47" s="899">
        <f t="shared" si="78"/>
        <v>0</v>
      </c>
      <c r="AX47" s="899">
        <f t="shared" si="78"/>
        <v>0</v>
      </c>
      <c r="AY47" s="891"/>
      <c r="AZ47" s="904"/>
      <c r="BA47" s="904">
        <f t="shared" si="67"/>
        <v>0</v>
      </c>
      <c r="BB47" s="904">
        <f t="shared" si="67"/>
        <v>0</v>
      </c>
      <c r="BC47" s="884"/>
      <c r="BD47" s="899"/>
      <c r="BE47" s="899">
        <f t="shared" si="79"/>
        <v>0</v>
      </c>
      <c r="BF47" s="899">
        <f t="shared" si="79"/>
        <v>0</v>
      </c>
      <c r="BG47" s="891">
        <f t="shared" si="68"/>
        <v>0</v>
      </c>
      <c r="BH47" s="904">
        <f t="shared" si="69"/>
        <v>0</v>
      </c>
      <c r="BI47" s="906">
        <f t="shared" si="70"/>
        <v>0</v>
      </c>
      <c r="BJ47" s="905"/>
      <c r="BK47" s="874"/>
      <c r="BL47" s="884"/>
      <c r="BM47" s="899"/>
      <c r="BN47" s="899">
        <f t="shared" si="80"/>
        <v>0</v>
      </c>
      <c r="BO47" s="899">
        <f t="shared" si="80"/>
        <v>0</v>
      </c>
      <c r="BP47" s="884"/>
      <c r="BQ47" s="899"/>
      <c r="BR47" s="904">
        <f t="shared" si="71"/>
        <v>0</v>
      </c>
      <c r="BS47" s="906">
        <f t="shared" si="71"/>
        <v>0</v>
      </c>
      <c r="BT47" s="874"/>
      <c r="BU47" s="884"/>
      <c r="BV47" s="899"/>
      <c r="BW47" s="899">
        <f t="shared" si="81"/>
        <v>0</v>
      </c>
      <c r="BX47" s="899">
        <f t="shared" si="81"/>
        <v>0</v>
      </c>
      <c r="BY47" s="891"/>
      <c r="BZ47" s="904"/>
      <c r="CA47" s="904">
        <f t="shared" si="72"/>
        <v>0</v>
      </c>
      <c r="CB47" s="906">
        <f t="shared" si="72"/>
        <v>0</v>
      </c>
      <c r="CC47" s="874"/>
      <c r="CD47" s="874"/>
      <c r="CE47" s="874"/>
      <c r="CF47" s="874"/>
      <c r="CG47" s="874"/>
      <c r="CH47" s="874"/>
      <c r="CI47" s="874"/>
      <c r="CJ47" s="874"/>
      <c r="CK47" s="874"/>
      <c r="CL47" s="874"/>
      <c r="CM47" s="874"/>
      <c r="CN47" s="874"/>
      <c r="CO47" s="874"/>
      <c r="CP47" s="874"/>
      <c r="CQ47" s="874"/>
      <c r="CR47" s="874"/>
      <c r="CS47" s="874"/>
      <c r="CT47" s="874"/>
      <c r="CU47" s="874"/>
      <c r="CV47" s="874"/>
      <c r="CW47" s="874"/>
      <c r="CX47" s="874"/>
      <c r="CY47" s="874"/>
      <c r="CZ47" s="874"/>
      <c r="DA47" s="874"/>
      <c r="DB47" s="874"/>
      <c r="DC47" s="874"/>
      <c r="DD47" s="874"/>
      <c r="DE47" s="874"/>
      <c r="DF47" s="874"/>
      <c r="DG47" s="874"/>
      <c r="DH47" s="874"/>
      <c r="DI47" s="874"/>
      <c r="DJ47" s="874"/>
      <c r="DK47" s="874"/>
      <c r="DL47" s="874"/>
      <c r="DM47" s="874"/>
      <c r="DN47" s="874"/>
      <c r="DO47" s="874"/>
      <c r="DP47" s="874"/>
      <c r="DQ47" s="874"/>
      <c r="DR47" s="874"/>
      <c r="DS47" s="874"/>
      <c r="DT47" s="874"/>
      <c r="DU47" s="874"/>
      <c r="DV47" s="874"/>
      <c r="DW47" s="874"/>
      <c r="DX47" s="874"/>
      <c r="DY47" s="874"/>
      <c r="DZ47" s="874"/>
      <c r="EA47" s="874"/>
    </row>
    <row r="48" spans="1:131" s="915" customFormat="1" ht="20.25" hidden="1">
      <c r="A48" s="896" t="s">
        <v>702</v>
      </c>
      <c r="B48" s="884"/>
      <c r="C48" s="899"/>
      <c r="D48" s="899">
        <f t="shared" si="73"/>
        <v>0</v>
      </c>
      <c r="E48" s="899">
        <f t="shared" si="73"/>
        <v>0</v>
      </c>
      <c r="F48" s="886">
        <f t="shared" si="60"/>
        <v>0</v>
      </c>
      <c r="G48" s="884"/>
      <c r="H48" s="899"/>
      <c r="I48" s="899">
        <f t="shared" si="74"/>
        <v>0</v>
      </c>
      <c r="J48" s="899">
        <f t="shared" si="74"/>
        <v>0</v>
      </c>
      <c r="K48" s="886">
        <f t="shared" si="61"/>
        <v>0</v>
      </c>
      <c r="L48" s="884"/>
      <c r="M48" s="899"/>
      <c r="N48" s="899">
        <f t="shared" si="75"/>
        <v>0</v>
      </c>
      <c r="O48" s="899">
        <f t="shared" si="75"/>
        <v>0</v>
      </c>
      <c r="P48" s="887">
        <f t="shared" si="62"/>
        <v>0</v>
      </c>
      <c r="Q48" s="884"/>
      <c r="R48" s="899">
        <f t="shared" si="63"/>
        <v>0</v>
      </c>
      <c r="S48" s="902">
        <f t="shared" si="63"/>
        <v>0</v>
      </c>
      <c r="T48" s="884"/>
      <c r="U48" s="899">
        <f t="shared" si="63"/>
        <v>0</v>
      </c>
      <c r="V48" s="902">
        <f t="shared" si="63"/>
        <v>0</v>
      </c>
      <c r="W48" s="884"/>
      <c r="X48" s="899"/>
      <c r="Y48" s="899">
        <f t="shared" si="76"/>
        <v>0</v>
      </c>
      <c r="Z48" s="899">
        <f t="shared" si="76"/>
        <v>0</v>
      </c>
      <c r="AA48" s="886">
        <f t="shared" si="64"/>
        <v>0</v>
      </c>
      <c r="AB48" s="884"/>
      <c r="AC48" s="899"/>
      <c r="AD48" s="899">
        <f t="shared" si="77"/>
        <v>0</v>
      </c>
      <c r="AE48" s="899">
        <f t="shared" si="77"/>
        <v>0</v>
      </c>
      <c r="AF48" s="886">
        <f t="shared" si="65"/>
        <v>0</v>
      </c>
      <c r="AG48" s="884"/>
      <c r="AH48" s="899">
        <f t="shared" si="66"/>
        <v>0</v>
      </c>
      <c r="AI48" s="902">
        <f t="shared" si="66"/>
        <v>0</v>
      </c>
      <c r="AJ48" s="884"/>
      <c r="AK48" s="899">
        <f t="shared" si="66"/>
        <v>0</v>
      </c>
      <c r="AL48" s="902">
        <f t="shared" si="66"/>
        <v>0</v>
      </c>
      <c r="AM48" s="884"/>
      <c r="AN48" s="899">
        <f t="shared" si="66"/>
        <v>0</v>
      </c>
      <c r="AO48" s="902">
        <f t="shared" si="66"/>
        <v>0</v>
      </c>
      <c r="AP48" s="884"/>
      <c r="AQ48" s="899">
        <f t="shared" si="66"/>
        <v>0</v>
      </c>
      <c r="AR48" s="902">
        <f t="shared" si="66"/>
        <v>0</v>
      </c>
      <c r="AS48" s="903"/>
      <c r="AT48" s="874"/>
      <c r="AU48" s="884"/>
      <c r="AV48" s="899"/>
      <c r="AW48" s="899">
        <f t="shared" si="78"/>
        <v>0</v>
      </c>
      <c r="AX48" s="899">
        <f t="shared" si="78"/>
        <v>0</v>
      </c>
      <c r="AY48" s="891"/>
      <c r="AZ48" s="904"/>
      <c r="BA48" s="904">
        <f t="shared" si="67"/>
        <v>0</v>
      </c>
      <c r="BB48" s="904">
        <f t="shared" si="67"/>
        <v>0</v>
      </c>
      <c r="BC48" s="884"/>
      <c r="BD48" s="899"/>
      <c r="BE48" s="899">
        <f t="shared" si="79"/>
        <v>0</v>
      </c>
      <c r="BF48" s="899">
        <f t="shared" si="79"/>
        <v>0</v>
      </c>
      <c r="BG48" s="891">
        <f t="shared" si="68"/>
        <v>0</v>
      </c>
      <c r="BH48" s="904">
        <f t="shared" si="69"/>
        <v>0</v>
      </c>
      <c r="BI48" s="906">
        <f t="shared" si="70"/>
        <v>0</v>
      </c>
      <c r="BJ48" s="905"/>
      <c r="BK48" s="874"/>
      <c r="BL48" s="884"/>
      <c r="BM48" s="899"/>
      <c r="BN48" s="899">
        <f t="shared" si="80"/>
        <v>0</v>
      </c>
      <c r="BO48" s="899">
        <f t="shared" si="80"/>
        <v>0</v>
      </c>
      <c r="BP48" s="884"/>
      <c r="BQ48" s="899"/>
      <c r="BR48" s="904">
        <f t="shared" si="71"/>
        <v>0</v>
      </c>
      <c r="BS48" s="906">
        <f t="shared" si="71"/>
        <v>0</v>
      </c>
      <c r="BT48" s="874"/>
      <c r="BU48" s="884"/>
      <c r="BV48" s="899"/>
      <c r="BW48" s="899">
        <f t="shared" si="81"/>
        <v>0</v>
      </c>
      <c r="BX48" s="899">
        <f t="shared" si="81"/>
        <v>0</v>
      </c>
      <c r="BY48" s="891"/>
      <c r="BZ48" s="904"/>
      <c r="CA48" s="904">
        <f t="shared" si="72"/>
        <v>0</v>
      </c>
      <c r="CB48" s="906">
        <f t="shared" si="72"/>
        <v>0</v>
      </c>
      <c r="CC48" s="874"/>
      <c r="CD48" s="874"/>
      <c r="CE48" s="874"/>
      <c r="CF48" s="874"/>
      <c r="CG48" s="874"/>
      <c r="CH48" s="874"/>
      <c r="CI48" s="874"/>
      <c r="CJ48" s="874"/>
      <c r="CK48" s="874"/>
      <c r="CL48" s="874"/>
      <c r="CM48" s="874"/>
      <c r="CN48" s="874"/>
      <c r="CO48" s="874"/>
      <c r="CP48" s="874"/>
      <c r="CQ48" s="874"/>
      <c r="CR48" s="874"/>
      <c r="CS48" s="874"/>
      <c r="CT48" s="874"/>
      <c r="CU48" s="874"/>
      <c r="CV48" s="874"/>
      <c r="CW48" s="874"/>
      <c r="CX48" s="874"/>
      <c r="CY48" s="874"/>
      <c r="CZ48" s="874"/>
      <c r="DA48" s="874"/>
      <c r="DB48" s="874"/>
      <c r="DC48" s="874"/>
      <c r="DD48" s="874"/>
      <c r="DE48" s="874"/>
      <c r="DF48" s="874"/>
      <c r="DG48" s="874"/>
      <c r="DH48" s="874"/>
      <c r="DI48" s="874"/>
      <c r="DJ48" s="874"/>
      <c r="DK48" s="874"/>
      <c r="DL48" s="874"/>
      <c r="DM48" s="874"/>
      <c r="DN48" s="874"/>
      <c r="DO48" s="874"/>
      <c r="DP48" s="874"/>
      <c r="DQ48" s="874"/>
      <c r="DR48" s="874"/>
      <c r="DS48" s="874"/>
      <c r="DT48" s="874"/>
      <c r="DU48" s="874"/>
      <c r="DV48" s="874"/>
      <c r="DW48" s="874"/>
      <c r="DX48" s="874"/>
      <c r="DY48" s="874"/>
      <c r="DZ48" s="874"/>
      <c r="EA48" s="874"/>
    </row>
    <row r="49" spans="1:131" s="915" customFormat="1" ht="20.25" hidden="1">
      <c r="A49" s="896" t="s">
        <v>703</v>
      </c>
      <c r="B49" s="884"/>
      <c r="C49" s="899"/>
      <c r="D49" s="899">
        <f t="shared" si="73"/>
        <v>0</v>
      </c>
      <c r="E49" s="899">
        <f t="shared" si="73"/>
        <v>0</v>
      </c>
      <c r="F49" s="886">
        <f t="shared" si="60"/>
        <v>0</v>
      </c>
      <c r="G49" s="884"/>
      <c r="H49" s="899"/>
      <c r="I49" s="899">
        <f t="shared" si="74"/>
        <v>0</v>
      </c>
      <c r="J49" s="899">
        <f t="shared" si="74"/>
        <v>0</v>
      </c>
      <c r="K49" s="886">
        <f t="shared" si="61"/>
        <v>0</v>
      </c>
      <c r="L49" s="884"/>
      <c r="M49" s="899"/>
      <c r="N49" s="899">
        <f t="shared" si="75"/>
        <v>0</v>
      </c>
      <c r="O49" s="899">
        <f t="shared" si="75"/>
        <v>0</v>
      </c>
      <c r="P49" s="887">
        <f t="shared" si="62"/>
        <v>0</v>
      </c>
      <c r="Q49" s="884"/>
      <c r="R49" s="899">
        <f t="shared" si="63"/>
        <v>0</v>
      </c>
      <c r="S49" s="902">
        <f t="shared" si="63"/>
        <v>0</v>
      </c>
      <c r="T49" s="884"/>
      <c r="U49" s="899">
        <f t="shared" si="63"/>
        <v>0</v>
      </c>
      <c r="V49" s="902">
        <f t="shared" si="63"/>
        <v>0</v>
      </c>
      <c r="W49" s="884"/>
      <c r="X49" s="899"/>
      <c r="Y49" s="899">
        <f t="shared" si="76"/>
        <v>0</v>
      </c>
      <c r="Z49" s="899">
        <f t="shared" si="76"/>
        <v>0</v>
      </c>
      <c r="AA49" s="886">
        <f t="shared" si="64"/>
        <v>0</v>
      </c>
      <c r="AB49" s="884"/>
      <c r="AC49" s="899"/>
      <c r="AD49" s="899">
        <f t="shared" si="77"/>
        <v>0</v>
      </c>
      <c r="AE49" s="899">
        <f t="shared" si="77"/>
        <v>0</v>
      </c>
      <c r="AF49" s="886">
        <f t="shared" si="65"/>
        <v>0</v>
      </c>
      <c r="AG49" s="884"/>
      <c r="AH49" s="899">
        <f t="shared" si="66"/>
        <v>0</v>
      </c>
      <c r="AI49" s="902">
        <f t="shared" si="66"/>
        <v>0</v>
      </c>
      <c r="AJ49" s="884"/>
      <c r="AK49" s="899">
        <f t="shared" si="66"/>
        <v>0</v>
      </c>
      <c r="AL49" s="902">
        <f t="shared" si="66"/>
        <v>0</v>
      </c>
      <c r="AM49" s="884"/>
      <c r="AN49" s="899">
        <f t="shared" si="66"/>
        <v>0</v>
      </c>
      <c r="AO49" s="902">
        <f t="shared" si="66"/>
        <v>0</v>
      </c>
      <c r="AP49" s="884"/>
      <c r="AQ49" s="899">
        <f t="shared" si="66"/>
        <v>0</v>
      </c>
      <c r="AR49" s="902">
        <f t="shared" si="66"/>
        <v>0</v>
      </c>
      <c r="AS49" s="903"/>
      <c r="AT49" s="874"/>
      <c r="AU49" s="884"/>
      <c r="AV49" s="899"/>
      <c r="AW49" s="899">
        <f t="shared" si="78"/>
        <v>0</v>
      </c>
      <c r="AX49" s="899">
        <f t="shared" si="78"/>
        <v>0</v>
      </c>
      <c r="AY49" s="891"/>
      <c r="AZ49" s="904"/>
      <c r="BA49" s="904">
        <f t="shared" si="67"/>
        <v>0</v>
      </c>
      <c r="BB49" s="904">
        <f t="shared" si="67"/>
        <v>0</v>
      </c>
      <c r="BC49" s="884"/>
      <c r="BD49" s="899"/>
      <c r="BE49" s="899">
        <f t="shared" si="79"/>
        <v>0</v>
      </c>
      <c r="BF49" s="899">
        <f t="shared" si="79"/>
        <v>0</v>
      </c>
      <c r="BG49" s="891">
        <f t="shared" si="68"/>
        <v>0</v>
      </c>
      <c r="BH49" s="904">
        <f t="shared" si="69"/>
        <v>0</v>
      </c>
      <c r="BI49" s="906">
        <f t="shared" si="70"/>
        <v>0</v>
      </c>
      <c r="BJ49" s="905"/>
      <c r="BK49" s="874"/>
      <c r="BL49" s="884"/>
      <c r="BM49" s="899"/>
      <c r="BN49" s="899">
        <f t="shared" si="80"/>
        <v>0</v>
      </c>
      <c r="BO49" s="899">
        <f t="shared" si="80"/>
        <v>0</v>
      </c>
      <c r="BP49" s="884"/>
      <c r="BQ49" s="899"/>
      <c r="BR49" s="904">
        <f t="shared" si="71"/>
        <v>0</v>
      </c>
      <c r="BS49" s="906">
        <f t="shared" si="71"/>
        <v>0</v>
      </c>
      <c r="BT49" s="874"/>
      <c r="BU49" s="884"/>
      <c r="BV49" s="899"/>
      <c r="BW49" s="899">
        <f t="shared" si="81"/>
        <v>0</v>
      </c>
      <c r="BX49" s="899">
        <f t="shared" si="81"/>
        <v>0</v>
      </c>
      <c r="BY49" s="891"/>
      <c r="BZ49" s="904"/>
      <c r="CA49" s="904">
        <f t="shared" si="72"/>
        <v>0</v>
      </c>
      <c r="CB49" s="906">
        <f t="shared" si="72"/>
        <v>0</v>
      </c>
      <c r="CC49" s="874"/>
      <c r="CD49" s="874"/>
      <c r="CE49" s="874"/>
      <c r="CF49" s="874"/>
      <c r="CG49" s="874"/>
      <c r="CH49" s="874"/>
      <c r="CI49" s="874"/>
      <c r="CJ49" s="874"/>
      <c r="CK49" s="874"/>
      <c r="CL49" s="874"/>
      <c r="CM49" s="874"/>
      <c r="CN49" s="874"/>
      <c r="CO49" s="874"/>
      <c r="CP49" s="874"/>
      <c r="CQ49" s="874"/>
      <c r="CR49" s="874"/>
      <c r="CS49" s="874"/>
      <c r="CT49" s="874"/>
      <c r="CU49" s="874"/>
      <c r="CV49" s="874"/>
      <c r="CW49" s="874"/>
      <c r="CX49" s="874"/>
      <c r="CY49" s="874"/>
      <c r="CZ49" s="874"/>
      <c r="DA49" s="874"/>
      <c r="DB49" s="874"/>
      <c r="DC49" s="874"/>
      <c r="DD49" s="874"/>
      <c r="DE49" s="874"/>
      <c r="DF49" s="874"/>
      <c r="DG49" s="874"/>
      <c r="DH49" s="874"/>
      <c r="DI49" s="874"/>
      <c r="DJ49" s="874"/>
      <c r="DK49" s="874"/>
      <c r="DL49" s="874"/>
      <c r="DM49" s="874"/>
      <c r="DN49" s="874"/>
      <c r="DO49" s="874"/>
      <c r="DP49" s="874"/>
      <c r="DQ49" s="874"/>
      <c r="DR49" s="874"/>
      <c r="DS49" s="874"/>
      <c r="DT49" s="874"/>
      <c r="DU49" s="874"/>
      <c r="DV49" s="874"/>
      <c r="DW49" s="874"/>
      <c r="DX49" s="874"/>
      <c r="DY49" s="874"/>
      <c r="DZ49" s="874"/>
      <c r="EA49" s="874"/>
    </row>
    <row r="50" spans="1:131" s="915" customFormat="1" ht="20.25" hidden="1">
      <c r="A50" s="896" t="s">
        <v>704</v>
      </c>
      <c r="B50" s="884"/>
      <c r="C50" s="899"/>
      <c r="D50" s="899">
        <f t="shared" si="73"/>
        <v>0</v>
      </c>
      <c r="E50" s="899">
        <f t="shared" si="73"/>
        <v>0</v>
      </c>
      <c r="F50" s="886">
        <f t="shared" si="60"/>
        <v>0</v>
      </c>
      <c r="G50" s="884"/>
      <c r="H50" s="899"/>
      <c r="I50" s="899">
        <f t="shared" si="74"/>
        <v>86368678</v>
      </c>
      <c r="J50" s="899">
        <f t="shared" si="74"/>
        <v>273</v>
      </c>
      <c r="K50" s="886">
        <f t="shared" si="61"/>
        <v>26364</v>
      </c>
      <c r="L50" s="884"/>
      <c r="M50" s="899"/>
      <c r="N50" s="899">
        <f t="shared" si="75"/>
        <v>95911695</v>
      </c>
      <c r="O50" s="899">
        <f t="shared" si="75"/>
        <v>272</v>
      </c>
      <c r="P50" s="887">
        <f t="shared" si="62"/>
        <v>29385</v>
      </c>
      <c r="Q50" s="884"/>
      <c r="R50" s="899">
        <f t="shared" si="63"/>
        <v>2010000</v>
      </c>
      <c r="S50" s="902">
        <f t="shared" si="63"/>
        <v>0</v>
      </c>
      <c r="T50" s="884"/>
      <c r="U50" s="899">
        <f t="shared" si="63"/>
        <v>0</v>
      </c>
      <c r="V50" s="902">
        <f t="shared" si="63"/>
        <v>0</v>
      </c>
      <c r="W50" s="884"/>
      <c r="X50" s="899"/>
      <c r="Y50" s="899">
        <f t="shared" si="76"/>
        <v>97921695</v>
      </c>
      <c r="Z50" s="899">
        <f t="shared" si="76"/>
        <v>272</v>
      </c>
      <c r="AA50" s="886">
        <f t="shared" si="64"/>
        <v>30001</v>
      </c>
      <c r="AB50" s="884"/>
      <c r="AC50" s="899"/>
      <c r="AD50" s="899">
        <f t="shared" si="77"/>
        <v>94283979.439999998</v>
      </c>
      <c r="AE50" s="899">
        <f t="shared" si="77"/>
        <v>256</v>
      </c>
      <c r="AF50" s="886">
        <f t="shared" si="65"/>
        <v>30691</v>
      </c>
      <c r="AG50" s="884"/>
      <c r="AH50" s="899">
        <f t="shared" si="66"/>
        <v>1513549.91</v>
      </c>
      <c r="AI50" s="902">
        <f t="shared" si="66"/>
        <v>0</v>
      </c>
      <c r="AJ50" s="884"/>
      <c r="AK50" s="899">
        <f t="shared" si="66"/>
        <v>0</v>
      </c>
      <c r="AL50" s="902">
        <f t="shared" si="66"/>
        <v>0</v>
      </c>
      <c r="AM50" s="884"/>
      <c r="AN50" s="899">
        <f t="shared" si="66"/>
        <v>0</v>
      </c>
      <c r="AO50" s="902">
        <f t="shared" si="66"/>
        <v>0</v>
      </c>
      <c r="AP50" s="884"/>
      <c r="AQ50" s="899">
        <f t="shared" si="66"/>
        <v>0</v>
      </c>
      <c r="AR50" s="902">
        <f t="shared" si="66"/>
        <v>0</v>
      </c>
      <c r="AS50" s="903"/>
      <c r="AT50" s="874"/>
      <c r="AU50" s="884"/>
      <c r="AV50" s="899"/>
      <c r="AW50" s="899">
        <f t="shared" si="78"/>
        <v>-1627715.5600000024</v>
      </c>
      <c r="AX50" s="899">
        <f t="shared" si="78"/>
        <v>-16</v>
      </c>
      <c r="AY50" s="891"/>
      <c r="AZ50" s="904"/>
      <c r="BA50" s="904">
        <f t="shared" si="67"/>
        <v>98.302901893246698</v>
      </c>
      <c r="BB50" s="904">
        <f t="shared" si="67"/>
        <v>94.117647058823522</v>
      </c>
      <c r="BC50" s="884"/>
      <c r="BD50" s="899"/>
      <c r="BE50" s="899">
        <f t="shared" si="79"/>
        <v>-3141265.4700000025</v>
      </c>
      <c r="BF50" s="899">
        <f t="shared" si="79"/>
        <v>-16</v>
      </c>
      <c r="BG50" s="891">
        <f t="shared" si="68"/>
        <v>0</v>
      </c>
      <c r="BH50" s="904">
        <f t="shared" si="69"/>
        <v>116.41253224093462</v>
      </c>
      <c r="BI50" s="906">
        <f t="shared" si="70"/>
        <v>104.44444444444446</v>
      </c>
      <c r="BJ50" s="905"/>
      <c r="BK50" s="874"/>
      <c r="BL50" s="884"/>
      <c r="BM50" s="899"/>
      <c r="BN50" s="899">
        <f t="shared" si="80"/>
        <v>-3637715.5600000024</v>
      </c>
      <c r="BO50" s="899">
        <f t="shared" si="80"/>
        <v>-16</v>
      </c>
      <c r="BP50" s="884"/>
      <c r="BQ50" s="899"/>
      <c r="BR50" s="904">
        <f t="shared" si="71"/>
        <v>96.28507700974744</v>
      </c>
      <c r="BS50" s="906">
        <f t="shared" si="71"/>
        <v>94.117647058823522</v>
      </c>
      <c r="BT50" s="874"/>
      <c r="BU50" s="884"/>
      <c r="BV50" s="899"/>
      <c r="BW50" s="899">
        <f t="shared" si="81"/>
        <v>94283979.439999998</v>
      </c>
      <c r="BX50" s="899">
        <f t="shared" si="81"/>
        <v>256</v>
      </c>
      <c r="BY50" s="891"/>
      <c r="BZ50" s="904"/>
      <c r="CA50" s="904">
        <f t="shared" si="72"/>
        <v>0</v>
      </c>
      <c r="CB50" s="906">
        <f t="shared" si="72"/>
        <v>0</v>
      </c>
      <c r="CC50" s="874"/>
      <c r="CD50" s="874"/>
      <c r="CE50" s="874"/>
      <c r="CF50" s="874"/>
      <c r="CG50" s="874"/>
      <c r="CH50" s="874"/>
      <c r="CI50" s="874"/>
      <c r="CJ50" s="874"/>
      <c r="CK50" s="874"/>
      <c r="CL50" s="874"/>
      <c r="CM50" s="874"/>
      <c r="CN50" s="874"/>
      <c r="CO50" s="874"/>
      <c r="CP50" s="874"/>
      <c r="CQ50" s="874"/>
      <c r="CR50" s="874"/>
      <c r="CS50" s="874"/>
      <c r="CT50" s="874"/>
      <c r="CU50" s="874"/>
      <c r="CV50" s="874"/>
      <c r="CW50" s="874"/>
      <c r="CX50" s="874"/>
      <c r="CY50" s="874"/>
      <c r="CZ50" s="874"/>
      <c r="DA50" s="874"/>
      <c r="DB50" s="874"/>
      <c r="DC50" s="874"/>
      <c r="DD50" s="874"/>
      <c r="DE50" s="874"/>
      <c r="DF50" s="874"/>
      <c r="DG50" s="874"/>
      <c r="DH50" s="874"/>
      <c r="DI50" s="874"/>
      <c r="DJ50" s="874"/>
      <c r="DK50" s="874"/>
      <c r="DL50" s="874"/>
      <c r="DM50" s="874"/>
      <c r="DN50" s="874"/>
      <c r="DO50" s="874"/>
      <c r="DP50" s="874"/>
      <c r="DQ50" s="874"/>
      <c r="DR50" s="874"/>
      <c r="DS50" s="874"/>
      <c r="DT50" s="874"/>
      <c r="DU50" s="874"/>
      <c r="DV50" s="874"/>
      <c r="DW50" s="874"/>
      <c r="DX50" s="874"/>
      <c r="DY50" s="874"/>
      <c r="DZ50" s="874"/>
      <c r="EA50" s="874"/>
    </row>
    <row r="51" spans="1:131" s="915" customFormat="1" ht="20.25" hidden="1">
      <c r="A51" s="897" t="s">
        <v>705</v>
      </c>
      <c r="B51" s="884"/>
      <c r="C51" s="899"/>
      <c r="D51" s="899">
        <f t="shared" si="73"/>
        <v>0</v>
      </c>
      <c r="E51" s="899">
        <f t="shared" si="73"/>
        <v>0</v>
      </c>
      <c r="F51" s="886">
        <f t="shared" si="60"/>
        <v>0</v>
      </c>
      <c r="G51" s="884"/>
      <c r="H51" s="899"/>
      <c r="I51" s="899">
        <f t="shared" si="74"/>
        <v>0</v>
      </c>
      <c r="J51" s="899">
        <f t="shared" si="74"/>
        <v>0</v>
      </c>
      <c r="K51" s="886">
        <f t="shared" si="61"/>
        <v>0</v>
      </c>
      <c r="L51" s="884"/>
      <c r="M51" s="899"/>
      <c r="N51" s="899">
        <f t="shared" si="75"/>
        <v>0</v>
      </c>
      <c r="O51" s="899">
        <f t="shared" si="75"/>
        <v>0</v>
      </c>
      <c r="P51" s="887">
        <f t="shared" si="62"/>
        <v>0</v>
      </c>
      <c r="Q51" s="884"/>
      <c r="R51" s="899">
        <f t="shared" si="63"/>
        <v>0</v>
      </c>
      <c r="S51" s="902">
        <f t="shared" si="63"/>
        <v>0</v>
      </c>
      <c r="T51" s="884"/>
      <c r="U51" s="899">
        <f t="shared" si="63"/>
        <v>0</v>
      </c>
      <c r="V51" s="902">
        <f t="shared" si="63"/>
        <v>0</v>
      </c>
      <c r="W51" s="884"/>
      <c r="X51" s="899"/>
      <c r="Y51" s="899">
        <f t="shared" si="76"/>
        <v>0</v>
      </c>
      <c r="Z51" s="899">
        <f t="shared" si="76"/>
        <v>0</v>
      </c>
      <c r="AA51" s="886">
        <f t="shared" si="64"/>
        <v>0</v>
      </c>
      <c r="AB51" s="884"/>
      <c r="AC51" s="899"/>
      <c r="AD51" s="899">
        <f t="shared" si="77"/>
        <v>0</v>
      </c>
      <c r="AE51" s="899">
        <f t="shared" si="77"/>
        <v>0</v>
      </c>
      <c r="AF51" s="886">
        <f t="shared" si="65"/>
        <v>0</v>
      </c>
      <c r="AG51" s="884"/>
      <c r="AH51" s="899">
        <f t="shared" si="66"/>
        <v>0</v>
      </c>
      <c r="AI51" s="902">
        <f t="shared" si="66"/>
        <v>0</v>
      </c>
      <c r="AJ51" s="884"/>
      <c r="AK51" s="899">
        <f t="shared" si="66"/>
        <v>0</v>
      </c>
      <c r="AL51" s="902">
        <f t="shared" si="66"/>
        <v>0</v>
      </c>
      <c r="AM51" s="884"/>
      <c r="AN51" s="899">
        <f t="shared" si="66"/>
        <v>0</v>
      </c>
      <c r="AO51" s="902">
        <f t="shared" si="66"/>
        <v>0</v>
      </c>
      <c r="AP51" s="884"/>
      <c r="AQ51" s="899">
        <f t="shared" si="66"/>
        <v>0</v>
      </c>
      <c r="AR51" s="902">
        <f t="shared" si="66"/>
        <v>0</v>
      </c>
      <c r="AS51" s="903"/>
      <c r="AT51" s="874"/>
      <c r="AU51" s="884"/>
      <c r="AV51" s="899"/>
      <c r="AW51" s="899">
        <f t="shared" si="78"/>
        <v>0</v>
      </c>
      <c r="AX51" s="899">
        <f t="shared" si="78"/>
        <v>0</v>
      </c>
      <c r="AY51" s="891"/>
      <c r="AZ51" s="904"/>
      <c r="BA51" s="904">
        <f t="shared" si="67"/>
        <v>0</v>
      </c>
      <c r="BB51" s="904">
        <f t="shared" si="67"/>
        <v>0</v>
      </c>
      <c r="BC51" s="884"/>
      <c r="BD51" s="899"/>
      <c r="BE51" s="899">
        <f t="shared" si="79"/>
        <v>0</v>
      </c>
      <c r="BF51" s="899">
        <f t="shared" si="79"/>
        <v>0</v>
      </c>
      <c r="BG51" s="891">
        <f t="shared" si="68"/>
        <v>0</v>
      </c>
      <c r="BH51" s="904">
        <f t="shared" si="69"/>
        <v>0</v>
      </c>
      <c r="BI51" s="906">
        <f t="shared" si="70"/>
        <v>0</v>
      </c>
      <c r="BJ51" s="905"/>
      <c r="BK51" s="874"/>
      <c r="BL51" s="884"/>
      <c r="BM51" s="899"/>
      <c r="BN51" s="899">
        <f t="shared" si="80"/>
        <v>0</v>
      </c>
      <c r="BO51" s="899">
        <f t="shared" si="80"/>
        <v>0</v>
      </c>
      <c r="BP51" s="884"/>
      <c r="BQ51" s="899"/>
      <c r="BR51" s="904">
        <f t="shared" si="71"/>
        <v>0</v>
      </c>
      <c r="BS51" s="906">
        <f t="shared" si="71"/>
        <v>0</v>
      </c>
      <c r="BT51" s="874"/>
      <c r="BU51" s="884"/>
      <c r="BV51" s="899"/>
      <c r="BW51" s="899">
        <f t="shared" si="81"/>
        <v>0</v>
      </c>
      <c r="BX51" s="899">
        <f t="shared" si="81"/>
        <v>0</v>
      </c>
      <c r="BY51" s="891"/>
      <c r="BZ51" s="904"/>
      <c r="CA51" s="904">
        <f t="shared" si="72"/>
        <v>0</v>
      </c>
      <c r="CB51" s="906">
        <f t="shared" si="72"/>
        <v>0</v>
      </c>
      <c r="CC51" s="874"/>
      <c r="CD51" s="874"/>
      <c r="CE51" s="874"/>
      <c r="CF51" s="874"/>
      <c r="CG51" s="874"/>
      <c r="CH51" s="874"/>
      <c r="CI51" s="874"/>
      <c r="CJ51" s="874"/>
      <c r="CK51" s="874"/>
      <c r="CL51" s="874"/>
      <c r="CM51" s="874"/>
      <c r="CN51" s="874"/>
      <c r="CO51" s="874"/>
      <c r="CP51" s="874"/>
      <c r="CQ51" s="874"/>
      <c r="CR51" s="874"/>
      <c r="CS51" s="874"/>
      <c r="CT51" s="874"/>
      <c r="CU51" s="874"/>
      <c r="CV51" s="874"/>
      <c r="CW51" s="874"/>
      <c r="CX51" s="874"/>
      <c r="CY51" s="874"/>
      <c r="CZ51" s="874"/>
      <c r="DA51" s="874"/>
      <c r="DB51" s="874"/>
      <c r="DC51" s="874"/>
      <c r="DD51" s="874"/>
      <c r="DE51" s="874"/>
      <c r="DF51" s="874"/>
      <c r="DG51" s="874"/>
      <c r="DH51" s="874"/>
      <c r="DI51" s="874"/>
      <c r="DJ51" s="874"/>
      <c r="DK51" s="874"/>
      <c r="DL51" s="874"/>
      <c r="DM51" s="874"/>
      <c r="DN51" s="874"/>
      <c r="DO51" s="874"/>
      <c r="DP51" s="874"/>
      <c r="DQ51" s="874"/>
      <c r="DR51" s="874"/>
      <c r="DS51" s="874"/>
      <c r="DT51" s="874"/>
      <c r="DU51" s="874"/>
      <c r="DV51" s="874"/>
      <c r="DW51" s="874"/>
      <c r="DX51" s="874"/>
      <c r="DY51" s="874"/>
      <c r="DZ51" s="874"/>
      <c r="EA51" s="874"/>
    </row>
    <row r="52" spans="1:131" s="915" customFormat="1" ht="20.25" hidden="1">
      <c r="A52" s="896" t="s">
        <v>706</v>
      </c>
      <c r="B52" s="884"/>
      <c r="C52" s="899">
        <f>C61+C69+C77+C85+C93+C101+C109</f>
        <v>0</v>
      </c>
      <c r="D52" s="899"/>
      <c r="E52" s="899"/>
      <c r="F52" s="886"/>
      <c r="G52" s="884"/>
      <c r="H52" s="899">
        <f>H61+H69+H77+H85+H93+H101+H109</f>
        <v>0</v>
      </c>
      <c r="I52" s="899"/>
      <c r="J52" s="899"/>
      <c r="K52" s="886"/>
      <c r="L52" s="884"/>
      <c r="M52" s="899">
        <f>M61+M69+M77+M85+M93+M101+M109</f>
        <v>0</v>
      </c>
      <c r="N52" s="899"/>
      <c r="O52" s="899"/>
      <c r="P52" s="887"/>
      <c r="Q52" s="884">
        <f>Q61+Q69+Q77+Q85+Q93+Q101+Q109</f>
        <v>0</v>
      </c>
      <c r="R52" s="899"/>
      <c r="S52" s="902"/>
      <c r="T52" s="884">
        <f>T61+T69+T77+T85+T93+T101+T109</f>
        <v>0</v>
      </c>
      <c r="U52" s="899"/>
      <c r="V52" s="902"/>
      <c r="W52" s="884"/>
      <c r="X52" s="899">
        <f>X61+X69+X77+X85+X93+X101+X109</f>
        <v>0</v>
      </c>
      <c r="Y52" s="899"/>
      <c r="Z52" s="899"/>
      <c r="AA52" s="886"/>
      <c r="AB52" s="884"/>
      <c r="AC52" s="899">
        <f>AC61+AC69+AC77+AC85+AC93+AC101+AC109</f>
        <v>0</v>
      </c>
      <c r="AD52" s="899"/>
      <c r="AE52" s="899"/>
      <c r="AF52" s="886"/>
      <c r="AG52" s="884">
        <f>AG61+AG69+AG77+AG85+AG93+AG101+AG109</f>
        <v>0</v>
      </c>
      <c r="AH52" s="899"/>
      <c r="AI52" s="902"/>
      <c r="AJ52" s="884">
        <f>AJ61+AJ69+AJ77+AJ85+AJ93+AJ101+AJ109</f>
        <v>0</v>
      </c>
      <c r="AK52" s="899"/>
      <c r="AL52" s="902"/>
      <c r="AM52" s="884">
        <f>AM61+AM69+AM77+AM85+AM93+AM101+AM109</f>
        <v>0</v>
      </c>
      <c r="AN52" s="899"/>
      <c r="AO52" s="902"/>
      <c r="AP52" s="884">
        <f>AP61+AP69+AP77+AP85+AP93+AP101+AP109</f>
        <v>0</v>
      </c>
      <c r="AQ52" s="899"/>
      <c r="AR52" s="902"/>
      <c r="AS52" s="903"/>
      <c r="AT52" s="874"/>
      <c r="AU52" s="884"/>
      <c r="AV52" s="899">
        <f>AV61+AV69+AV77+AV85+AV93+AV101+AV109</f>
        <v>0</v>
      </c>
      <c r="AW52" s="899"/>
      <c r="AX52" s="899"/>
      <c r="AY52" s="891"/>
      <c r="AZ52" s="904">
        <f>IF(M52=0,0,AC52/M52*100)</f>
        <v>0</v>
      </c>
      <c r="BA52" s="904"/>
      <c r="BB52" s="904"/>
      <c r="BC52" s="884"/>
      <c r="BD52" s="899">
        <f>BD61+BD69+BD77+BD85+BD93+BD101+BD109</f>
        <v>0</v>
      </c>
      <c r="BE52" s="899"/>
      <c r="BF52" s="899"/>
      <c r="BG52" s="884"/>
      <c r="BH52" s="899"/>
      <c r="BI52" s="902"/>
      <c r="BJ52" s="905"/>
      <c r="BK52" s="874"/>
      <c r="BL52" s="884"/>
      <c r="BM52" s="899">
        <f>BM61+BM69+BM77+BM85+BM93+BM101+BM109</f>
        <v>0</v>
      </c>
      <c r="BN52" s="899"/>
      <c r="BO52" s="899"/>
      <c r="BP52" s="884"/>
      <c r="BQ52" s="904">
        <f>IF(X52=0,0,AC52/X52*100)</f>
        <v>0</v>
      </c>
      <c r="BR52" s="899"/>
      <c r="BS52" s="902"/>
      <c r="BT52" s="874"/>
      <c r="BU52" s="884"/>
      <c r="BV52" s="899">
        <f>BV61+BV69+BV77+BV85+BV93+BV101+BV109</f>
        <v>0</v>
      </c>
      <c r="BW52" s="899"/>
      <c r="BX52" s="899"/>
      <c r="BY52" s="891"/>
      <c r="BZ52" s="904">
        <f>IF(C52=0,0,AC52/C52*100)</f>
        <v>0</v>
      </c>
      <c r="CA52" s="904"/>
      <c r="CB52" s="906"/>
      <c r="CC52" s="874"/>
      <c r="CD52" s="874"/>
      <c r="CE52" s="874"/>
      <c r="CF52" s="874"/>
      <c r="CG52" s="874"/>
      <c r="CH52" s="874"/>
      <c r="CI52" s="874"/>
      <c r="CJ52" s="874"/>
      <c r="CK52" s="874"/>
      <c r="CL52" s="874"/>
      <c r="CM52" s="874"/>
      <c r="CN52" s="874"/>
      <c r="CO52" s="874"/>
      <c r="CP52" s="874"/>
      <c r="CQ52" s="874"/>
      <c r="CR52" s="874"/>
      <c r="CS52" s="874"/>
      <c r="CT52" s="874"/>
      <c r="CU52" s="874"/>
      <c r="CV52" s="874"/>
      <c r="CW52" s="874"/>
      <c r="CX52" s="874"/>
      <c r="CY52" s="874"/>
      <c r="CZ52" s="874"/>
      <c r="DA52" s="874"/>
      <c r="DB52" s="874"/>
      <c r="DC52" s="874"/>
      <c r="DD52" s="874"/>
      <c r="DE52" s="874"/>
      <c r="DF52" s="874"/>
      <c r="DG52" s="874"/>
      <c r="DH52" s="874"/>
      <c r="DI52" s="874"/>
      <c r="DJ52" s="874"/>
      <c r="DK52" s="874"/>
      <c r="DL52" s="874"/>
      <c r="DM52" s="874"/>
      <c r="DN52" s="874"/>
      <c r="DO52" s="874"/>
      <c r="DP52" s="874"/>
      <c r="DQ52" s="874"/>
      <c r="DR52" s="874"/>
      <c r="DS52" s="874"/>
      <c r="DT52" s="874"/>
      <c r="DU52" s="874"/>
      <c r="DV52" s="874"/>
      <c r="DW52" s="874"/>
      <c r="DX52" s="874"/>
      <c r="DY52" s="874"/>
      <c r="DZ52" s="874"/>
      <c r="EA52" s="874"/>
    </row>
    <row r="53" spans="1:131" s="915" customFormat="1" ht="22.5" customHeight="1">
      <c r="A53" s="896" t="s">
        <v>534</v>
      </c>
      <c r="B53" s="884"/>
      <c r="C53" s="899"/>
      <c r="D53" s="899"/>
      <c r="E53" s="899"/>
      <c r="F53" s="902"/>
      <c r="G53" s="884"/>
      <c r="H53" s="899"/>
      <c r="I53" s="899"/>
      <c r="J53" s="899"/>
      <c r="K53" s="902"/>
      <c r="L53" s="884"/>
      <c r="M53" s="899"/>
      <c r="N53" s="899"/>
      <c r="O53" s="899"/>
      <c r="P53" s="907"/>
      <c r="Q53" s="884"/>
      <c r="R53" s="899"/>
      <c r="S53" s="902"/>
      <c r="T53" s="884"/>
      <c r="U53" s="899"/>
      <c r="V53" s="902"/>
      <c r="W53" s="884"/>
      <c r="X53" s="899"/>
      <c r="Y53" s="899"/>
      <c r="Z53" s="899"/>
      <c r="AA53" s="902"/>
      <c r="AB53" s="884"/>
      <c r="AC53" s="899"/>
      <c r="AD53" s="899"/>
      <c r="AE53" s="899"/>
      <c r="AF53" s="902"/>
      <c r="AG53" s="884"/>
      <c r="AH53" s="899"/>
      <c r="AI53" s="902"/>
      <c r="AJ53" s="884"/>
      <c r="AK53" s="899"/>
      <c r="AL53" s="902"/>
      <c r="AM53" s="884"/>
      <c r="AN53" s="899"/>
      <c r="AO53" s="902"/>
      <c r="AP53" s="884"/>
      <c r="AQ53" s="899"/>
      <c r="AR53" s="902"/>
      <c r="AS53" s="903"/>
      <c r="AT53" s="874"/>
      <c r="AU53" s="884"/>
      <c r="AV53" s="899"/>
      <c r="AW53" s="899"/>
      <c r="AX53" s="899"/>
      <c r="AY53" s="891"/>
      <c r="AZ53" s="904"/>
      <c r="BA53" s="904"/>
      <c r="BB53" s="904"/>
      <c r="BC53" s="884"/>
      <c r="BD53" s="899"/>
      <c r="BE53" s="899"/>
      <c r="BF53" s="899"/>
      <c r="BG53" s="884"/>
      <c r="BH53" s="899"/>
      <c r="BI53" s="902"/>
      <c r="BJ53" s="905"/>
      <c r="BK53" s="874"/>
      <c r="BL53" s="884"/>
      <c r="BM53" s="899"/>
      <c r="BN53" s="899"/>
      <c r="BO53" s="899"/>
      <c r="BP53" s="884"/>
      <c r="BQ53" s="899"/>
      <c r="BR53" s="899"/>
      <c r="BS53" s="902"/>
      <c r="BT53" s="874"/>
      <c r="BU53" s="884"/>
      <c r="BV53" s="899"/>
      <c r="BW53" s="899"/>
      <c r="BX53" s="899"/>
      <c r="BY53" s="891"/>
      <c r="BZ53" s="904"/>
      <c r="CA53" s="904"/>
      <c r="CB53" s="906"/>
      <c r="CC53" s="874"/>
      <c r="CD53" s="874"/>
      <c r="CE53" s="874"/>
      <c r="CF53" s="874"/>
      <c r="CG53" s="874"/>
      <c r="CH53" s="874"/>
      <c r="CI53" s="874"/>
      <c r="CJ53" s="874"/>
      <c r="CK53" s="874"/>
      <c r="CL53" s="874"/>
      <c r="CM53" s="874"/>
      <c r="CN53" s="874"/>
      <c r="CO53" s="874"/>
      <c r="CP53" s="874"/>
      <c r="CQ53" s="874"/>
      <c r="CR53" s="874"/>
      <c r="CS53" s="874"/>
      <c r="CT53" s="874"/>
      <c r="CU53" s="874"/>
      <c r="CV53" s="874"/>
      <c r="CW53" s="874"/>
      <c r="CX53" s="874"/>
      <c r="CY53" s="874"/>
      <c r="CZ53" s="874"/>
      <c r="DA53" s="874"/>
      <c r="DB53" s="874"/>
      <c r="DC53" s="874"/>
      <c r="DD53" s="874"/>
      <c r="DE53" s="874"/>
      <c r="DF53" s="874"/>
      <c r="DG53" s="874"/>
      <c r="DH53" s="874"/>
      <c r="DI53" s="874"/>
      <c r="DJ53" s="874"/>
      <c r="DK53" s="874"/>
      <c r="DL53" s="874"/>
      <c r="DM53" s="874"/>
      <c r="DN53" s="874"/>
      <c r="DO53" s="874"/>
      <c r="DP53" s="874"/>
      <c r="DQ53" s="874"/>
      <c r="DR53" s="874"/>
      <c r="DS53" s="874"/>
      <c r="DT53" s="874"/>
      <c r="DU53" s="874"/>
      <c r="DV53" s="874"/>
      <c r="DW53" s="874"/>
      <c r="DX53" s="874"/>
      <c r="DY53" s="874"/>
      <c r="DZ53" s="874"/>
      <c r="EA53" s="874"/>
    </row>
    <row r="54" spans="1:131" ht="18.75" customHeight="1">
      <c r="A54" s="916" t="s">
        <v>711</v>
      </c>
      <c r="B54" s="884">
        <f>C54+D54</f>
        <v>332032242</v>
      </c>
      <c r="C54" s="909">
        <v>16770446</v>
      </c>
      <c r="D54" s="899">
        <f>SUM(D55:D56,D59:D60)</f>
        <v>315261796</v>
      </c>
      <c r="E54" s="899">
        <f>SUM(E55:E56,E59:E60)</f>
        <v>1127</v>
      </c>
      <c r="F54" s="886">
        <f t="shared" ref="F54:F60" si="82">IF(E54=0,0,ROUND(D54/E54/12,0))</f>
        <v>23311</v>
      </c>
      <c r="G54" s="884">
        <f>H54+I54</f>
        <v>341607725</v>
      </c>
      <c r="H54" s="909">
        <v>14374270</v>
      </c>
      <c r="I54" s="899">
        <f>SUM(I55:I56,I59:I60)</f>
        <v>327233455</v>
      </c>
      <c r="J54" s="899">
        <f>SUM(J55:J56,J59:J60)</f>
        <v>1192</v>
      </c>
      <c r="K54" s="886">
        <f t="shared" ref="K54:K60" si="83">IF(J54=0,0,ROUND(I54/J54/12,0))</f>
        <v>22877</v>
      </c>
      <c r="L54" s="884">
        <f>M54+N54</f>
        <v>362121924</v>
      </c>
      <c r="M54" s="909">
        <v>16721120</v>
      </c>
      <c r="N54" s="899">
        <f>SUM(N55:N56,N59:N60)</f>
        <v>345400804</v>
      </c>
      <c r="O54" s="899">
        <f>SUM(O55:O56,O59:O60)</f>
        <v>1171</v>
      </c>
      <c r="P54" s="887">
        <f t="shared" ref="P54:P60" si="84">IF(O54=0,0,ROUND(N54/O54/12,0))</f>
        <v>24580</v>
      </c>
      <c r="Q54" s="910">
        <f>[6]LRZ!$J$13</f>
        <v>815583</v>
      </c>
      <c r="R54" s="899">
        <f>SUM(R55:R56,R59:R60)</f>
        <v>6885757.9800000004</v>
      </c>
      <c r="S54" s="902">
        <f>SUM(S55:S56,S59:S60)</f>
        <v>0</v>
      </c>
      <c r="T54" s="910"/>
      <c r="U54" s="899">
        <f>SUM(U55:U56,U59:U60)</f>
        <v>0</v>
      </c>
      <c r="V54" s="902">
        <f>SUM(V55:V56,V59:V60)</f>
        <v>0</v>
      </c>
      <c r="W54" s="884">
        <f>X54+Y54</f>
        <v>369823264.98000002</v>
      </c>
      <c r="X54" s="885">
        <f>M54+Q54-T54</f>
        <v>17536703</v>
      </c>
      <c r="Y54" s="899">
        <f>SUM(Y55:Y56,Y59:Y60)</f>
        <v>352286561.98000002</v>
      </c>
      <c r="Z54" s="899">
        <f>SUM(Z55:Z56,Z59:Z60)</f>
        <v>1171</v>
      </c>
      <c r="AA54" s="886">
        <f t="shared" ref="AA54:AA60" si="85">IF(Z54=0,0,ROUND(Y54/Z54/12,0))</f>
        <v>25070</v>
      </c>
      <c r="AB54" s="884">
        <f>AC54+AD54</f>
        <v>362182420.96000004</v>
      </c>
      <c r="AC54" s="911">
        <f>[7]LRZ!$F$13</f>
        <v>14999154</v>
      </c>
      <c r="AD54" s="899">
        <f>SUM(AD55:AD56,AD59:AD60)</f>
        <v>347183266.96000004</v>
      </c>
      <c r="AE54" s="899">
        <f>SUM(AE55:AE56,AE59:AE60)</f>
        <v>1137</v>
      </c>
      <c r="AF54" s="886">
        <f t="shared" ref="AF54:AF60" si="86">IF(AE54=0,0,ROUND(AD54/AE54/12,0))</f>
        <v>25446</v>
      </c>
      <c r="AG54" s="910">
        <f>473155</f>
        <v>473155</v>
      </c>
      <c r="AH54" s="899">
        <f>SUM(AH55:AH56,AH59:AH60)</f>
        <v>6259936.7800000003</v>
      </c>
      <c r="AI54" s="902">
        <f>SUM(AI55:AI56,AI59:AI60)</f>
        <v>0</v>
      </c>
      <c r="AJ54" s="910">
        <f>50000+374000+1562150</f>
        <v>1986150</v>
      </c>
      <c r="AK54" s="899">
        <f>SUM(AK55:AK56,AK59:AK60)</f>
        <v>558000</v>
      </c>
      <c r="AL54" s="902">
        <f>SUM(AL55:AL56,AL59:AL60)</f>
        <v>0</v>
      </c>
      <c r="AM54" s="910"/>
      <c r="AN54" s="899">
        <f>SUM(AN55:AN56,AN59:AN60)</f>
        <v>0</v>
      </c>
      <c r="AO54" s="902">
        <f>SUM(AO55:AO56,AO59:AO60)</f>
        <v>0</v>
      </c>
      <c r="AP54" s="910"/>
      <c r="AQ54" s="899">
        <f>SUM(AQ55:AQ56,AQ59:AQ60)</f>
        <v>0</v>
      </c>
      <c r="AR54" s="902">
        <f>SUM(AR55:AR56,AR59:AR60)</f>
        <v>0</v>
      </c>
      <c r="AS54" s="903"/>
      <c r="AT54" s="874"/>
      <c r="AU54" s="884">
        <f>AV54+AW54</f>
        <v>60496.960000008345</v>
      </c>
      <c r="AV54" s="885">
        <f>AC54-M54</f>
        <v>-1721966</v>
      </c>
      <c r="AW54" s="899">
        <f>SUM(AW55:AW56,AW59:AW60)</f>
        <v>1782462.9600000083</v>
      </c>
      <c r="AX54" s="899">
        <f>SUM(AX55:AX56,AX59:AX60)</f>
        <v>-34</v>
      </c>
      <c r="AY54" s="891">
        <f>IF(L54=0,0,AB54/L54*100)</f>
        <v>100.01670624063073</v>
      </c>
      <c r="AZ54" s="892">
        <f>IF(M54=0,0,AC54/M54*100)</f>
        <v>89.701850115303287</v>
      </c>
      <c r="BA54" s="904">
        <f>IF(N54=0,0,AD54/N54*100)</f>
        <v>100.51605640153636</v>
      </c>
      <c r="BB54" s="904">
        <f>IF(O54=0,0,AE54/O54*100)</f>
        <v>97.096498719043552</v>
      </c>
      <c r="BC54" s="884">
        <f>BD54+BE54</f>
        <v>-9216744.8199999928</v>
      </c>
      <c r="BD54" s="885">
        <f>AC54-M54-AG54-AJ54-AM54-AP54</f>
        <v>-4181271</v>
      </c>
      <c r="BE54" s="899">
        <f>SUM(BE55:BE56,BE59:BE60)</f>
        <v>-5035473.8199999919</v>
      </c>
      <c r="BF54" s="899">
        <f>SUM(BF55:BF56,BF59:BF60)</f>
        <v>-34</v>
      </c>
      <c r="BG54" s="891">
        <f t="shared" ref="BG54:BG60" si="87">IF(F54=0,0,AF54/F54*100)</f>
        <v>109.15876624769423</v>
      </c>
      <c r="BH54" s="904">
        <f t="shared" ref="BH54:BH60" si="88">IF(K54=0,0,AF54/K54*100)</f>
        <v>111.22961926826069</v>
      </c>
      <c r="BI54" s="906">
        <f t="shared" ref="BI54:BI60" si="89">IF(P54=0,0,AF54/P54*100)</f>
        <v>103.52318958502849</v>
      </c>
      <c r="BJ54" s="905"/>
      <c r="BK54" s="874"/>
      <c r="BL54" s="884">
        <f>BM54+BN54</f>
        <v>-7640844.0199999809</v>
      </c>
      <c r="BM54" s="885">
        <f>AC54-X54</f>
        <v>-2537549</v>
      </c>
      <c r="BN54" s="899">
        <f>SUM(BN55:BN56,BN59:BN60)</f>
        <v>-5103295.0199999809</v>
      </c>
      <c r="BO54" s="899">
        <f>SUM(BO55:BO56,BO59:BO60)</f>
        <v>-34</v>
      </c>
      <c r="BP54" s="891">
        <f>IF(W54=0,0,AB54/W54*100)</f>
        <v>97.933920133333643</v>
      </c>
      <c r="BQ54" s="892">
        <f>IF(X54=0,0,AC54/X54*100)</f>
        <v>85.530067995107174</v>
      </c>
      <c r="BR54" s="904">
        <f>IF(Y54=0,0,AD54/Y54*100)</f>
        <v>98.551379595259817</v>
      </c>
      <c r="BS54" s="906">
        <f>IF(Z54=0,0,AE54/Z54*100)</f>
        <v>97.096498719043552</v>
      </c>
      <c r="BT54" s="874"/>
      <c r="BU54" s="884">
        <f>BV54+BW54</f>
        <v>30150178.960000008</v>
      </c>
      <c r="BV54" s="885">
        <f>AC54-C54</f>
        <v>-1771292</v>
      </c>
      <c r="BW54" s="899">
        <f>SUM(BW55:BW56,BW59:BW60)</f>
        <v>31921470.960000008</v>
      </c>
      <c r="BX54" s="899">
        <f>SUM(BX55:BX56,BX59:BX60)</f>
        <v>10</v>
      </c>
      <c r="BY54" s="891">
        <f>IF(B54=0,0,AB54/B54*100)</f>
        <v>109.0804973572416</v>
      </c>
      <c r="BZ54" s="892">
        <f>IF(C54=0,0,AC54/C54*100)</f>
        <v>89.438014946054494</v>
      </c>
      <c r="CA54" s="904">
        <f>IF(D54=0,0,AD54/D54*100)</f>
        <v>110.12538511326633</v>
      </c>
      <c r="CB54" s="906">
        <f>IF(E54=0,0,AE54/E54*100)</f>
        <v>100.88731144631767</v>
      </c>
      <c r="CC54" s="874"/>
      <c r="CD54" s="874"/>
      <c r="CE54" s="874"/>
      <c r="CF54" s="874"/>
      <c r="CG54" s="874"/>
      <c r="CH54" s="874"/>
      <c r="CI54" s="874"/>
      <c r="CJ54" s="874"/>
      <c r="CK54" s="874"/>
      <c r="CL54" s="874"/>
      <c r="CM54" s="874"/>
      <c r="CN54" s="874"/>
      <c r="CO54" s="874"/>
      <c r="CP54" s="874"/>
      <c r="CQ54" s="874"/>
      <c r="CR54" s="874"/>
      <c r="CS54" s="874"/>
      <c r="CT54" s="874"/>
      <c r="CU54" s="874"/>
      <c r="CV54" s="874"/>
      <c r="CW54" s="874"/>
      <c r="CX54" s="874"/>
      <c r="CY54" s="874"/>
      <c r="CZ54" s="874"/>
      <c r="DA54" s="874"/>
      <c r="DB54" s="874"/>
      <c r="DC54" s="874"/>
      <c r="DD54" s="874"/>
      <c r="DE54" s="874"/>
      <c r="DF54" s="874"/>
      <c r="DG54" s="874"/>
      <c r="DH54" s="874"/>
      <c r="DI54" s="874"/>
      <c r="DJ54" s="874"/>
      <c r="DK54" s="874"/>
      <c r="DL54" s="874"/>
      <c r="DM54" s="874"/>
      <c r="DN54" s="874"/>
      <c r="DO54" s="874"/>
      <c r="DP54" s="874"/>
      <c r="DQ54" s="874"/>
      <c r="DR54" s="874"/>
      <c r="DS54" s="874"/>
      <c r="DT54" s="874"/>
      <c r="DU54" s="874"/>
      <c r="DV54" s="874"/>
      <c r="DW54" s="874"/>
      <c r="DX54" s="874"/>
      <c r="DY54" s="874"/>
      <c r="DZ54" s="874"/>
      <c r="EA54" s="874"/>
    </row>
    <row r="55" spans="1:131" ht="20.25">
      <c r="A55" s="883" t="s">
        <v>700</v>
      </c>
      <c r="B55" s="884"/>
      <c r="C55" s="899"/>
      <c r="D55" s="909">
        <v>315261796</v>
      </c>
      <c r="E55" s="909">
        <v>1127</v>
      </c>
      <c r="F55" s="886">
        <f t="shared" si="82"/>
        <v>23311</v>
      </c>
      <c r="G55" s="884"/>
      <c r="H55" s="899"/>
      <c r="I55" s="909">
        <v>240864777</v>
      </c>
      <c r="J55" s="909">
        <v>919</v>
      </c>
      <c r="K55" s="886">
        <f t="shared" si="83"/>
        <v>21841</v>
      </c>
      <c r="L55" s="884"/>
      <c r="M55" s="899"/>
      <c r="N55" s="909">
        <v>249489109</v>
      </c>
      <c r="O55" s="909">
        <v>899</v>
      </c>
      <c r="P55" s="887">
        <f t="shared" si="84"/>
        <v>23127</v>
      </c>
      <c r="Q55" s="884"/>
      <c r="R55" s="911">
        <f>[6]LRZ!$I$14</f>
        <v>4875757.9800000004</v>
      </c>
      <c r="S55" s="912"/>
      <c r="T55" s="884"/>
      <c r="U55" s="911"/>
      <c r="V55" s="912"/>
      <c r="W55" s="884"/>
      <c r="X55" s="899"/>
      <c r="Y55" s="885">
        <f t="shared" ref="Y55:Z60" si="90">N55+R55-U55</f>
        <v>254364866.97999999</v>
      </c>
      <c r="Z55" s="885">
        <f t="shared" si="90"/>
        <v>899</v>
      </c>
      <c r="AA55" s="886">
        <f t="shared" si="85"/>
        <v>23579</v>
      </c>
      <c r="AB55" s="884"/>
      <c r="AC55" s="899"/>
      <c r="AD55" s="911">
        <f>[7]LRZ!$E$14</f>
        <v>252899287.52000001</v>
      </c>
      <c r="AE55" s="911">
        <f>'[7]výdaje mv+oOSS'!$E$64+'[7]výdaje mv+oOSS'!$E$86+'[7]výdaje mv+oOSS'!$E$108+'[7]výdaje mv+oOSS'!$E$130+'[7]výdaje mv+oOSS'!$E$152+'[7]výdaje mv+oOSS'!$E$174+'[7]výdaje mv+oOSS'!$E$196+'[7]výdaje mv+oOSS'!$E$218+'[7]výdaje mv+oOSS'!$E$240</f>
        <v>881</v>
      </c>
      <c r="AF55" s="886">
        <f t="shared" si="86"/>
        <v>23922</v>
      </c>
      <c r="AG55" s="884"/>
      <c r="AH55" s="911">
        <f>2460628.91+2285757.96</f>
        <v>4746386.87</v>
      </c>
      <c r="AI55" s="912"/>
      <c r="AJ55" s="884"/>
      <c r="AK55" s="911">
        <f>111000+447000</f>
        <v>558000</v>
      </c>
      <c r="AL55" s="912"/>
      <c r="AM55" s="884"/>
      <c r="AN55" s="911"/>
      <c r="AO55" s="912"/>
      <c r="AP55" s="884"/>
      <c r="AQ55" s="911"/>
      <c r="AR55" s="912"/>
      <c r="AS55" s="890"/>
      <c r="AT55" s="874"/>
      <c r="AU55" s="884"/>
      <c r="AV55" s="899"/>
      <c r="AW55" s="885">
        <f t="shared" ref="AW55:AX60" si="91">AD55-N55</f>
        <v>3410178.5200000107</v>
      </c>
      <c r="AX55" s="885">
        <f t="shared" si="91"/>
        <v>-18</v>
      </c>
      <c r="AY55" s="891"/>
      <c r="AZ55" s="904"/>
      <c r="BA55" s="892">
        <f t="shared" ref="BA55:BB60" si="92">IF(N55=0,0,AD55/N55*100)</f>
        <v>101.36686468345999</v>
      </c>
      <c r="BB55" s="892">
        <f t="shared" si="92"/>
        <v>97.997775305895445</v>
      </c>
      <c r="BC55" s="884"/>
      <c r="BD55" s="899"/>
      <c r="BE55" s="885">
        <f t="shared" ref="BE55:BF60" si="93">AD55-N55-AH55-AK55-AN55-AQ55</f>
        <v>-1894208.3499999894</v>
      </c>
      <c r="BF55" s="885">
        <f t="shared" si="93"/>
        <v>-18</v>
      </c>
      <c r="BG55" s="893">
        <f t="shared" si="87"/>
        <v>102.62108017674059</v>
      </c>
      <c r="BH55" s="892">
        <f t="shared" si="88"/>
        <v>109.52795201684904</v>
      </c>
      <c r="BI55" s="894">
        <f t="shared" si="89"/>
        <v>103.43754053703465</v>
      </c>
      <c r="BJ55" s="895"/>
      <c r="BK55" s="874"/>
      <c r="BL55" s="884"/>
      <c r="BM55" s="899"/>
      <c r="BN55" s="885">
        <f t="shared" ref="BN55:BO60" si="94">AD55-Y55</f>
        <v>-1465579.4599999785</v>
      </c>
      <c r="BO55" s="885">
        <f t="shared" si="94"/>
        <v>-18</v>
      </c>
      <c r="BP55" s="884"/>
      <c r="BQ55" s="899"/>
      <c r="BR55" s="892">
        <f t="shared" ref="BR55:BS60" si="95">IF(Y55=0,0,AD55/Y55*100)</f>
        <v>99.423827874737427</v>
      </c>
      <c r="BS55" s="894">
        <f t="shared" si="95"/>
        <v>97.997775305895445</v>
      </c>
      <c r="BT55" s="874"/>
      <c r="BU55" s="884"/>
      <c r="BV55" s="899"/>
      <c r="BW55" s="885">
        <f t="shared" ref="BW55:BX60" si="96">AD55-D55</f>
        <v>-62362508.479999989</v>
      </c>
      <c r="BX55" s="885">
        <f t="shared" si="96"/>
        <v>-246</v>
      </c>
      <c r="BY55" s="891"/>
      <c r="BZ55" s="904"/>
      <c r="CA55" s="892">
        <f t="shared" ref="CA55:CB60" si="97">IF(D55=0,0,AD55/D55*100)</f>
        <v>80.218818368972308</v>
      </c>
      <c r="CB55" s="894">
        <f t="shared" si="97"/>
        <v>78.172138420585625</v>
      </c>
      <c r="CC55" s="874"/>
      <c r="CD55" s="874"/>
      <c r="CE55" s="874"/>
      <c r="CF55" s="874"/>
      <c r="CG55" s="874"/>
      <c r="CH55" s="874"/>
      <c r="CI55" s="874"/>
      <c r="CJ55" s="874"/>
      <c r="CK55" s="874"/>
      <c r="CL55" s="874"/>
      <c r="CM55" s="874"/>
      <c r="CN55" s="874"/>
      <c r="CO55" s="874"/>
      <c r="CP55" s="874"/>
      <c r="CQ55" s="874"/>
      <c r="CR55" s="874"/>
      <c r="CS55" s="874"/>
      <c r="CT55" s="874"/>
      <c r="CU55" s="874"/>
      <c r="CV55" s="874"/>
      <c r="CW55" s="874"/>
      <c r="CX55" s="874"/>
      <c r="CY55" s="874"/>
      <c r="CZ55" s="874"/>
      <c r="DA55" s="874"/>
      <c r="DB55" s="874"/>
      <c r="DC55" s="874"/>
      <c r="DD55" s="874"/>
      <c r="DE55" s="874"/>
      <c r="DF55" s="874"/>
      <c r="DG55" s="874"/>
      <c r="DH55" s="874"/>
      <c r="DI55" s="874"/>
      <c r="DJ55" s="874"/>
      <c r="DK55" s="874"/>
      <c r="DL55" s="874"/>
      <c r="DM55" s="874"/>
      <c r="DN55" s="874"/>
      <c r="DO55" s="874"/>
      <c r="DP55" s="874"/>
      <c r="DQ55" s="874"/>
      <c r="DR55" s="874"/>
      <c r="DS55" s="874"/>
      <c r="DT55" s="874"/>
      <c r="DU55" s="874"/>
      <c r="DV55" s="874"/>
      <c r="DW55" s="874"/>
      <c r="DX55" s="874"/>
      <c r="DY55" s="874"/>
      <c r="DZ55" s="874"/>
      <c r="EA55" s="874"/>
    </row>
    <row r="56" spans="1:131" ht="20.25" hidden="1">
      <c r="A56" s="896" t="s">
        <v>701</v>
      </c>
      <c r="B56" s="884"/>
      <c r="C56" s="899"/>
      <c r="D56" s="909">
        <v>0</v>
      </c>
      <c r="E56" s="909">
        <v>0</v>
      </c>
      <c r="F56" s="886">
        <f t="shared" si="82"/>
        <v>0</v>
      </c>
      <c r="G56" s="884"/>
      <c r="H56" s="899"/>
      <c r="I56" s="909">
        <v>0</v>
      </c>
      <c r="J56" s="909">
        <v>0</v>
      </c>
      <c r="K56" s="886">
        <f t="shared" si="83"/>
        <v>0</v>
      </c>
      <c r="L56" s="884"/>
      <c r="M56" s="899"/>
      <c r="N56" s="909">
        <v>0</v>
      </c>
      <c r="O56" s="909">
        <v>0</v>
      </c>
      <c r="P56" s="887">
        <f t="shared" si="84"/>
        <v>0</v>
      </c>
      <c r="Q56" s="884"/>
      <c r="R56" s="911">
        <v>0</v>
      </c>
      <c r="S56" s="912">
        <v>0</v>
      </c>
      <c r="T56" s="884"/>
      <c r="U56" s="911">
        <v>0</v>
      </c>
      <c r="V56" s="912">
        <v>0</v>
      </c>
      <c r="W56" s="884"/>
      <c r="X56" s="899"/>
      <c r="Y56" s="885">
        <f>N56+R56-U56</f>
        <v>0</v>
      </c>
      <c r="Z56" s="885">
        <f>O56+S56-V56</f>
        <v>0</v>
      </c>
      <c r="AA56" s="886">
        <f t="shared" si="85"/>
        <v>0</v>
      </c>
      <c r="AB56" s="884"/>
      <c r="AC56" s="899"/>
      <c r="AD56" s="911">
        <v>0</v>
      </c>
      <c r="AE56" s="911">
        <v>0</v>
      </c>
      <c r="AF56" s="886">
        <f t="shared" si="86"/>
        <v>0</v>
      </c>
      <c r="AG56" s="884"/>
      <c r="AH56" s="911">
        <v>0</v>
      </c>
      <c r="AI56" s="912">
        <v>0</v>
      </c>
      <c r="AJ56" s="884"/>
      <c r="AK56" s="911">
        <v>0</v>
      </c>
      <c r="AL56" s="912">
        <v>0</v>
      </c>
      <c r="AM56" s="884"/>
      <c r="AN56" s="911">
        <v>0</v>
      </c>
      <c r="AO56" s="912">
        <v>0</v>
      </c>
      <c r="AP56" s="884"/>
      <c r="AQ56" s="911">
        <v>0</v>
      </c>
      <c r="AR56" s="912">
        <v>0</v>
      </c>
      <c r="AS56" s="890"/>
      <c r="AT56" s="874"/>
      <c r="AU56" s="884"/>
      <c r="AV56" s="899"/>
      <c r="AW56" s="885">
        <f t="shared" si="91"/>
        <v>0</v>
      </c>
      <c r="AX56" s="885">
        <f t="shared" si="91"/>
        <v>0</v>
      </c>
      <c r="AY56" s="891"/>
      <c r="AZ56" s="904"/>
      <c r="BA56" s="892">
        <f t="shared" si="92"/>
        <v>0</v>
      </c>
      <c r="BB56" s="892">
        <f t="shared" si="92"/>
        <v>0</v>
      </c>
      <c r="BC56" s="884"/>
      <c r="BD56" s="899"/>
      <c r="BE56" s="885">
        <f t="shared" si="93"/>
        <v>0</v>
      </c>
      <c r="BF56" s="885">
        <f t="shared" si="93"/>
        <v>0</v>
      </c>
      <c r="BG56" s="893">
        <f t="shared" si="87"/>
        <v>0</v>
      </c>
      <c r="BH56" s="892">
        <f t="shared" si="88"/>
        <v>0</v>
      </c>
      <c r="BI56" s="894">
        <f t="shared" si="89"/>
        <v>0</v>
      </c>
      <c r="BJ56" s="895"/>
      <c r="BK56" s="874"/>
      <c r="BL56" s="884"/>
      <c r="BM56" s="899"/>
      <c r="BN56" s="885">
        <f t="shared" si="94"/>
        <v>0</v>
      </c>
      <c r="BO56" s="885">
        <f t="shared" si="94"/>
        <v>0</v>
      </c>
      <c r="BP56" s="884"/>
      <c r="BQ56" s="899"/>
      <c r="BR56" s="892">
        <f t="shared" si="95"/>
        <v>0</v>
      </c>
      <c r="BS56" s="894">
        <f t="shared" si="95"/>
        <v>0</v>
      </c>
      <c r="BT56" s="874"/>
      <c r="BU56" s="884"/>
      <c r="BV56" s="899"/>
      <c r="BW56" s="885">
        <f t="shared" si="96"/>
        <v>0</v>
      </c>
      <c r="BX56" s="885">
        <f t="shared" si="96"/>
        <v>0</v>
      </c>
      <c r="BY56" s="891"/>
      <c r="BZ56" s="904"/>
      <c r="CA56" s="892">
        <f t="shared" si="97"/>
        <v>0</v>
      </c>
      <c r="CB56" s="894">
        <f t="shared" si="97"/>
        <v>0</v>
      </c>
      <c r="CC56" s="874"/>
      <c r="CD56" s="874"/>
      <c r="CE56" s="874"/>
      <c r="CF56" s="874"/>
      <c r="CG56" s="874"/>
      <c r="CH56" s="874"/>
      <c r="CI56" s="874"/>
      <c r="CJ56" s="874"/>
      <c r="CK56" s="874"/>
      <c r="CL56" s="874"/>
      <c r="CM56" s="874"/>
      <c r="CN56" s="874"/>
      <c r="CO56" s="874"/>
      <c r="CP56" s="874"/>
      <c r="CQ56" s="874"/>
      <c r="CR56" s="874"/>
      <c r="CS56" s="874"/>
      <c r="CT56" s="874"/>
      <c r="CU56" s="874"/>
      <c r="CV56" s="874"/>
      <c r="CW56" s="874"/>
      <c r="CX56" s="874"/>
      <c r="CY56" s="874"/>
      <c r="CZ56" s="874"/>
      <c r="DA56" s="874"/>
      <c r="DB56" s="874"/>
      <c r="DC56" s="874"/>
      <c r="DD56" s="874"/>
      <c r="DE56" s="874"/>
      <c r="DF56" s="874"/>
      <c r="DG56" s="874"/>
      <c r="DH56" s="874"/>
      <c r="DI56" s="874"/>
      <c r="DJ56" s="874"/>
      <c r="DK56" s="874"/>
      <c r="DL56" s="874"/>
      <c r="DM56" s="874"/>
      <c r="DN56" s="874"/>
      <c r="DO56" s="874"/>
      <c r="DP56" s="874"/>
      <c r="DQ56" s="874"/>
      <c r="DR56" s="874"/>
      <c r="DS56" s="874"/>
      <c r="DT56" s="874"/>
      <c r="DU56" s="874"/>
      <c r="DV56" s="874"/>
      <c r="DW56" s="874"/>
      <c r="DX56" s="874"/>
      <c r="DY56" s="874"/>
      <c r="DZ56" s="874"/>
      <c r="EA56" s="874"/>
    </row>
    <row r="57" spans="1:131" ht="20.25" hidden="1">
      <c r="A57" s="896" t="s">
        <v>702</v>
      </c>
      <c r="B57" s="884"/>
      <c r="C57" s="899"/>
      <c r="D57" s="909">
        <v>0</v>
      </c>
      <c r="E57" s="909">
        <v>0</v>
      </c>
      <c r="F57" s="886">
        <f t="shared" si="82"/>
        <v>0</v>
      </c>
      <c r="G57" s="884"/>
      <c r="H57" s="899"/>
      <c r="I57" s="909">
        <v>0</v>
      </c>
      <c r="J57" s="909">
        <v>0</v>
      </c>
      <c r="K57" s="886">
        <f t="shared" si="83"/>
        <v>0</v>
      </c>
      <c r="L57" s="884"/>
      <c r="M57" s="899"/>
      <c r="N57" s="909">
        <v>0</v>
      </c>
      <c r="O57" s="909">
        <v>0</v>
      </c>
      <c r="P57" s="887">
        <f t="shared" si="84"/>
        <v>0</v>
      </c>
      <c r="Q57" s="884"/>
      <c r="R57" s="911"/>
      <c r="S57" s="912"/>
      <c r="T57" s="884"/>
      <c r="U57" s="911"/>
      <c r="V57" s="912"/>
      <c r="W57" s="884"/>
      <c r="X57" s="899"/>
      <c r="Y57" s="885">
        <f t="shared" si="90"/>
        <v>0</v>
      </c>
      <c r="Z57" s="885">
        <f t="shared" si="90"/>
        <v>0</v>
      </c>
      <c r="AA57" s="886">
        <f t="shared" si="85"/>
        <v>0</v>
      </c>
      <c r="AB57" s="884"/>
      <c r="AC57" s="899"/>
      <c r="AD57" s="911"/>
      <c r="AE57" s="911"/>
      <c r="AF57" s="886">
        <f t="shared" si="86"/>
        <v>0</v>
      </c>
      <c r="AG57" s="884"/>
      <c r="AH57" s="911"/>
      <c r="AI57" s="912"/>
      <c r="AJ57" s="884"/>
      <c r="AK57" s="911"/>
      <c r="AL57" s="912"/>
      <c r="AM57" s="884"/>
      <c r="AN57" s="911"/>
      <c r="AO57" s="912"/>
      <c r="AP57" s="884"/>
      <c r="AQ57" s="911"/>
      <c r="AR57" s="912"/>
      <c r="AS57" s="890"/>
      <c r="AT57" s="874"/>
      <c r="AU57" s="884"/>
      <c r="AV57" s="899"/>
      <c r="AW57" s="885">
        <f t="shared" si="91"/>
        <v>0</v>
      </c>
      <c r="AX57" s="885">
        <f t="shared" si="91"/>
        <v>0</v>
      </c>
      <c r="AY57" s="891"/>
      <c r="AZ57" s="904"/>
      <c r="BA57" s="892">
        <f t="shared" si="92"/>
        <v>0</v>
      </c>
      <c r="BB57" s="892">
        <f t="shared" si="92"/>
        <v>0</v>
      </c>
      <c r="BC57" s="884"/>
      <c r="BD57" s="899"/>
      <c r="BE57" s="885">
        <f t="shared" si="93"/>
        <v>0</v>
      </c>
      <c r="BF57" s="885">
        <f t="shared" si="93"/>
        <v>0</v>
      </c>
      <c r="BG57" s="893">
        <f t="shared" si="87"/>
        <v>0</v>
      </c>
      <c r="BH57" s="892">
        <f t="shared" si="88"/>
        <v>0</v>
      </c>
      <c r="BI57" s="894">
        <f t="shared" si="89"/>
        <v>0</v>
      </c>
      <c r="BJ57" s="895"/>
      <c r="BK57" s="874"/>
      <c r="BL57" s="884"/>
      <c r="BM57" s="899"/>
      <c r="BN57" s="885">
        <f t="shared" si="94"/>
        <v>0</v>
      </c>
      <c r="BO57" s="885">
        <f t="shared" si="94"/>
        <v>0</v>
      </c>
      <c r="BP57" s="884"/>
      <c r="BQ57" s="899"/>
      <c r="BR57" s="892">
        <f t="shared" si="95"/>
        <v>0</v>
      </c>
      <c r="BS57" s="894">
        <f t="shared" si="95"/>
        <v>0</v>
      </c>
      <c r="BT57" s="874"/>
      <c r="BU57" s="884"/>
      <c r="BV57" s="899"/>
      <c r="BW57" s="885">
        <f t="shared" si="96"/>
        <v>0</v>
      </c>
      <c r="BX57" s="885">
        <f t="shared" si="96"/>
        <v>0</v>
      </c>
      <c r="BY57" s="891"/>
      <c r="BZ57" s="904"/>
      <c r="CA57" s="892">
        <f t="shared" si="97"/>
        <v>0</v>
      </c>
      <c r="CB57" s="894">
        <f t="shared" si="97"/>
        <v>0</v>
      </c>
      <c r="CC57" s="874"/>
      <c r="CD57" s="874"/>
      <c r="CE57" s="874"/>
      <c r="CF57" s="874"/>
      <c r="CG57" s="874"/>
      <c r="CH57" s="874"/>
      <c r="CI57" s="874"/>
      <c r="CJ57" s="874"/>
      <c r="CK57" s="874"/>
      <c r="CL57" s="874"/>
      <c r="CM57" s="874"/>
      <c r="CN57" s="874"/>
      <c r="CO57" s="874"/>
      <c r="CP57" s="874"/>
      <c r="CQ57" s="874"/>
      <c r="CR57" s="874"/>
      <c r="CS57" s="874"/>
      <c r="CT57" s="874"/>
      <c r="CU57" s="874"/>
      <c r="CV57" s="874"/>
      <c r="CW57" s="874"/>
      <c r="CX57" s="874"/>
      <c r="CY57" s="874"/>
      <c r="CZ57" s="874"/>
      <c r="DA57" s="874"/>
      <c r="DB57" s="874"/>
      <c r="DC57" s="874"/>
      <c r="DD57" s="874"/>
      <c r="DE57" s="874"/>
      <c r="DF57" s="874"/>
      <c r="DG57" s="874"/>
      <c r="DH57" s="874"/>
      <c r="DI57" s="874"/>
      <c r="DJ57" s="874"/>
      <c r="DK57" s="874"/>
      <c r="DL57" s="874"/>
      <c r="DM57" s="874"/>
      <c r="DN57" s="874"/>
      <c r="DO57" s="874"/>
      <c r="DP57" s="874"/>
      <c r="DQ57" s="874"/>
      <c r="DR57" s="874"/>
      <c r="DS57" s="874"/>
      <c r="DT57" s="874"/>
      <c r="DU57" s="874"/>
      <c r="DV57" s="874"/>
      <c r="DW57" s="874"/>
      <c r="DX57" s="874"/>
      <c r="DY57" s="874"/>
      <c r="DZ57" s="874"/>
      <c r="EA57" s="874"/>
    </row>
    <row r="58" spans="1:131" ht="20.25" hidden="1">
      <c r="A58" s="896" t="s">
        <v>703</v>
      </c>
      <c r="B58" s="884"/>
      <c r="C58" s="899"/>
      <c r="D58" s="909">
        <v>0</v>
      </c>
      <c r="E58" s="909">
        <v>0</v>
      </c>
      <c r="F58" s="886">
        <f t="shared" si="82"/>
        <v>0</v>
      </c>
      <c r="G58" s="884"/>
      <c r="H58" s="899"/>
      <c r="I58" s="909">
        <v>0</v>
      </c>
      <c r="J58" s="909">
        <v>0</v>
      </c>
      <c r="K58" s="886">
        <f t="shared" si="83"/>
        <v>0</v>
      </c>
      <c r="L58" s="884"/>
      <c r="M58" s="899"/>
      <c r="N58" s="909">
        <v>0</v>
      </c>
      <c r="O58" s="909">
        <v>0</v>
      </c>
      <c r="P58" s="887">
        <f t="shared" si="84"/>
        <v>0</v>
      </c>
      <c r="Q58" s="884"/>
      <c r="R58" s="911"/>
      <c r="S58" s="912"/>
      <c r="T58" s="884"/>
      <c r="U58" s="911"/>
      <c r="V58" s="912"/>
      <c r="W58" s="884"/>
      <c r="X58" s="899"/>
      <c r="Y58" s="885">
        <f t="shared" si="90"/>
        <v>0</v>
      </c>
      <c r="Z58" s="885">
        <f t="shared" si="90"/>
        <v>0</v>
      </c>
      <c r="AA58" s="886">
        <f t="shared" si="85"/>
        <v>0</v>
      </c>
      <c r="AB58" s="884"/>
      <c r="AC58" s="899"/>
      <c r="AD58" s="911"/>
      <c r="AE58" s="911"/>
      <c r="AF58" s="886">
        <f t="shared" si="86"/>
        <v>0</v>
      </c>
      <c r="AG58" s="884"/>
      <c r="AH58" s="911"/>
      <c r="AI58" s="912"/>
      <c r="AJ58" s="884"/>
      <c r="AK58" s="911"/>
      <c r="AL58" s="912"/>
      <c r="AM58" s="884"/>
      <c r="AN58" s="911"/>
      <c r="AO58" s="912"/>
      <c r="AP58" s="884"/>
      <c r="AQ58" s="911"/>
      <c r="AR58" s="912"/>
      <c r="AS58" s="890"/>
      <c r="AT58" s="874"/>
      <c r="AU58" s="884"/>
      <c r="AV58" s="899"/>
      <c r="AW58" s="885">
        <f t="shared" si="91"/>
        <v>0</v>
      </c>
      <c r="AX58" s="885">
        <f t="shared" si="91"/>
        <v>0</v>
      </c>
      <c r="AY58" s="891"/>
      <c r="AZ58" s="904"/>
      <c r="BA58" s="892">
        <f t="shared" si="92"/>
        <v>0</v>
      </c>
      <c r="BB58" s="892">
        <f t="shared" si="92"/>
        <v>0</v>
      </c>
      <c r="BC58" s="884"/>
      <c r="BD58" s="899"/>
      <c r="BE58" s="885">
        <f t="shared" si="93"/>
        <v>0</v>
      </c>
      <c r="BF58" s="885">
        <f t="shared" si="93"/>
        <v>0</v>
      </c>
      <c r="BG58" s="893">
        <f t="shared" si="87"/>
        <v>0</v>
      </c>
      <c r="BH58" s="892">
        <f t="shared" si="88"/>
        <v>0</v>
      </c>
      <c r="BI58" s="894">
        <f t="shared" si="89"/>
        <v>0</v>
      </c>
      <c r="BJ58" s="895"/>
      <c r="BK58" s="874"/>
      <c r="BL58" s="884"/>
      <c r="BM58" s="899"/>
      <c r="BN58" s="885">
        <f t="shared" si="94"/>
        <v>0</v>
      </c>
      <c r="BO58" s="885">
        <f t="shared" si="94"/>
        <v>0</v>
      </c>
      <c r="BP58" s="884"/>
      <c r="BQ58" s="899"/>
      <c r="BR58" s="892">
        <f t="shared" si="95"/>
        <v>0</v>
      </c>
      <c r="BS58" s="894">
        <f t="shared" si="95"/>
        <v>0</v>
      </c>
      <c r="BT58" s="874"/>
      <c r="BU58" s="884"/>
      <c r="BV58" s="899"/>
      <c r="BW58" s="885">
        <f t="shared" si="96"/>
        <v>0</v>
      </c>
      <c r="BX58" s="885">
        <f t="shared" si="96"/>
        <v>0</v>
      </c>
      <c r="BY58" s="891"/>
      <c r="BZ58" s="904"/>
      <c r="CA58" s="892">
        <f t="shared" si="97"/>
        <v>0</v>
      </c>
      <c r="CB58" s="894">
        <f t="shared" si="97"/>
        <v>0</v>
      </c>
      <c r="CC58" s="874"/>
      <c r="CD58" s="874"/>
      <c r="CE58" s="874"/>
      <c r="CF58" s="874"/>
      <c r="CG58" s="874"/>
      <c r="CH58" s="874"/>
      <c r="CI58" s="874"/>
      <c r="CJ58" s="874"/>
      <c r="CK58" s="874"/>
      <c r="CL58" s="874"/>
      <c r="CM58" s="874"/>
      <c r="CN58" s="874"/>
      <c r="CO58" s="874"/>
      <c r="CP58" s="874"/>
      <c r="CQ58" s="874"/>
      <c r="CR58" s="874"/>
      <c r="CS58" s="874"/>
      <c r="CT58" s="874"/>
      <c r="CU58" s="874"/>
      <c r="CV58" s="874"/>
      <c r="CW58" s="874"/>
      <c r="CX58" s="874"/>
      <c r="CY58" s="874"/>
      <c r="CZ58" s="874"/>
      <c r="DA58" s="874"/>
      <c r="DB58" s="874"/>
      <c r="DC58" s="874"/>
      <c r="DD58" s="874"/>
      <c r="DE58" s="874"/>
      <c r="DF58" s="874"/>
      <c r="DG58" s="874"/>
      <c r="DH58" s="874"/>
      <c r="DI58" s="874"/>
      <c r="DJ58" s="874"/>
      <c r="DK58" s="874"/>
      <c r="DL58" s="874"/>
      <c r="DM58" s="874"/>
      <c r="DN58" s="874"/>
      <c r="DO58" s="874"/>
      <c r="DP58" s="874"/>
      <c r="DQ58" s="874"/>
      <c r="DR58" s="874"/>
      <c r="DS58" s="874"/>
      <c r="DT58" s="874"/>
      <c r="DU58" s="874"/>
      <c r="DV58" s="874"/>
      <c r="DW58" s="874"/>
      <c r="DX58" s="874"/>
      <c r="DY58" s="874"/>
      <c r="DZ58" s="874"/>
      <c r="EA58" s="874"/>
    </row>
    <row r="59" spans="1:131" ht="20.25">
      <c r="A59" s="896" t="s">
        <v>704</v>
      </c>
      <c r="B59" s="884"/>
      <c r="C59" s="899"/>
      <c r="D59" s="909">
        <v>0</v>
      </c>
      <c r="E59" s="909">
        <v>0</v>
      </c>
      <c r="F59" s="886">
        <f t="shared" si="82"/>
        <v>0</v>
      </c>
      <c r="G59" s="884"/>
      <c r="H59" s="899"/>
      <c r="I59" s="909">
        <v>86368678</v>
      </c>
      <c r="J59" s="909">
        <v>273</v>
      </c>
      <c r="K59" s="886">
        <f t="shared" si="83"/>
        <v>26364</v>
      </c>
      <c r="L59" s="884"/>
      <c r="M59" s="899"/>
      <c r="N59" s="909">
        <v>95911695</v>
      </c>
      <c r="O59" s="909">
        <v>272</v>
      </c>
      <c r="P59" s="887">
        <f t="shared" si="84"/>
        <v>29385</v>
      </c>
      <c r="Q59" s="884"/>
      <c r="R59" s="911">
        <f>[6]LRZ!$I$15</f>
        <v>2010000</v>
      </c>
      <c r="S59" s="912"/>
      <c r="T59" s="884"/>
      <c r="U59" s="911"/>
      <c r="V59" s="912"/>
      <c r="W59" s="884"/>
      <c r="X59" s="899"/>
      <c r="Y59" s="885">
        <f t="shared" si="90"/>
        <v>97921695</v>
      </c>
      <c r="Z59" s="885">
        <f t="shared" si="90"/>
        <v>272</v>
      </c>
      <c r="AA59" s="886">
        <f t="shared" si="85"/>
        <v>30001</v>
      </c>
      <c r="AB59" s="884"/>
      <c r="AC59" s="899"/>
      <c r="AD59" s="911">
        <f>[7]LRZ!$E$15-4900</f>
        <v>94283979.439999998</v>
      </c>
      <c r="AE59" s="911">
        <f>'[7]výdaje mv+oOSS'!$E$65+'[7]výdaje mv+oOSS'!$E$87+'[7]výdaje mv+oOSS'!$E$109+'[7]výdaje mv+oOSS'!$E$131+'[7]výdaje mv+oOSS'!$E$153+'[7]výdaje mv+oOSS'!$E$175+'[7]výdaje mv+oOSS'!$E$197+'[7]výdaje mv+oOSS'!$E$219+'[7]výdaje mv+oOSS'!$E$241</f>
        <v>256</v>
      </c>
      <c r="AF59" s="886">
        <f t="shared" si="86"/>
        <v>30691</v>
      </c>
      <c r="AG59" s="884"/>
      <c r="AH59" s="911">
        <v>1513549.91</v>
      </c>
      <c r="AI59" s="912"/>
      <c r="AJ59" s="884"/>
      <c r="AK59" s="911"/>
      <c r="AL59" s="912"/>
      <c r="AM59" s="884"/>
      <c r="AN59" s="911"/>
      <c r="AO59" s="912"/>
      <c r="AP59" s="884"/>
      <c r="AQ59" s="911"/>
      <c r="AR59" s="912"/>
      <c r="AS59" s="890"/>
      <c r="AT59" s="874"/>
      <c r="AU59" s="884"/>
      <c r="AV59" s="899"/>
      <c r="AW59" s="885">
        <f t="shared" si="91"/>
        <v>-1627715.5600000024</v>
      </c>
      <c r="AX59" s="885">
        <f t="shared" si="91"/>
        <v>-16</v>
      </c>
      <c r="AY59" s="891"/>
      <c r="AZ59" s="904"/>
      <c r="BA59" s="892">
        <f t="shared" si="92"/>
        <v>98.302901893246698</v>
      </c>
      <c r="BB59" s="892">
        <f t="shared" si="92"/>
        <v>94.117647058823522</v>
      </c>
      <c r="BC59" s="884"/>
      <c r="BD59" s="899"/>
      <c r="BE59" s="885">
        <f t="shared" si="93"/>
        <v>-3141265.4700000025</v>
      </c>
      <c r="BF59" s="885">
        <f t="shared" si="93"/>
        <v>-16</v>
      </c>
      <c r="BG59" s="893">
        <f t="shared" si="87"/>
        <v>0</v>
      </c>
      <c r="BH59" s="892">
        <f t="shared" si="88"/>
        <v>116.41253224093462</v>
      </c>
      <c r="BI59" s="894">
        <f t="shared" si="89"/>
        <v>104.44444444444446</v>
      </c>
      <c r="BJ59" s="895"/>
      <c r="BK59" s="874"/>
      <c r="BL59" s="884"/>
      <c r="BM59" s="899"/>
      <c r="BN59" s="885">
        <f t="shared" si="94"/>
        <v>-3637715.5600000024</v>
      </c>
      <c r="BO59" s="885">
        <f t="shared" si="94"/>
        <v>-16</v>
      </c>
      <c r="BP59" s="884"/>
      <c r="BQ59" s="899"/>
      <c r="BR59" s="892">
        <f t="shared" si="95"/>
        <v>96.28507700974744</v>
      </c>
      <c r="BS59" s="894">
        <f t="shared" si="95"/>
        <v>94.117647058823522</v>
      </c>
      <c r="BT59" s="874"/>
      <c r="BU59" s="884"/>
      <c r="BV59" s="899"/>
      <c r="BW59" s="885">
        <f t="shared" si="96"/>
        <v>94283979.439999998</v>
      </c>
      <c r="BX59" s="885">
        <f t="shared" si="96"/>
        <v>256</v>
      </c>
      <c r="BY59" s="891"/>
      <c r="BZ59" s="904"/>
      <c r="CA59" s="892">
        <f t="shared" si="97"/>
        <v>0</v>
      </c>
      <c r="CB59" s="894">
        <f t="shared" si="97"/>
        <v>0</v>
      </c>
      <c r="CC59" s="874"/>
      <c r="CD59" s="874"/>
      <c r="CE59" s="874"/>
      <c r="CF59" s="874"/>
      <c r="CG59" s="874"/>
      <c r="CH59" s="874"/>
      <c r="CI59" s="874"/>
      <c r="CJ59" s="874"/>
      <c r="CK59" s="874"/>
      <c r="CL59" s="874"/>
      <c r="CM59" s="874"/>
      <c r="CN59" s="874"/>
      <c r="CO59" s="874"/>
      <c r="CP59" s="874"/>
      <c r="CQ59" s="874"/>
      <c r="CR59" s="874"/>
      <c r="CS59" s="874"/>
      <c r="CT59" s="874"/>
      <c r="CU59" s="874"/>
      <c r="CV59" s="874"/>
      <c r="CW59" s="874"/>
      <c r="CX59" s="874"/>
      <c r="CY59" s="874"/>
      <c r="CZ59" s="874"/>
      <c r="DA59" s="874"/>
      <c r="DB59" s="874"/>
      <c r="DC59" s="874"/>
      <c r="DD59" s="874"/>
      <c r="DE59" s="874"/>
      <c r="DF59" s="874"/>
      <c r="DG59" s="874"/>
      <c r="DH59" s="874"/>
      <c r="DI59" s="874"/>
      <c r="DJ59" s="874"/>
      <c r="DK59" s="874"/>
      <c r="DL59" s="874"/>
      <c r="DM59" s="874"/>
      <c r="DN59" s="874"/>
      <c r="DO59" s="874"/>
      <c r="DP59" s="874"/>
      <c r="DQ59" s="874"/>
      <c r="DR59" s="874"/>
      <c r="DS59" s="874"/>
      <c r="DT59" s="874"/>
      <c r="DU59" s="874"/>
      <c r="DV59" s="874"/>
      <c r="DW59" s="874"/>
      <c r="DX59" s="874"/>
      <c r="DY59" s="874"/>
      <c r="DZ59" s="874"/>
      <c r="EA59" s="874"/>
    </row>
    <row r="60" spans="1:131" ht="20.25" hidden="1">
      <c r="A60" s="897" t="s">
        <v>705</v>
      </c>
      <c r="B60" s="884"/>
      <c r="C60" s="899"/>
      <c r="D60" s="917">
        <v>0</v>
      </c>
      <c r="E60" s="917">
        <v>0</v>
      </c>
      <c r="F60" s="886">
        <f t="shared" si="82"/>
        <v>0</v>
      </c>
      <c r="G60" s="884"/>
      <c r="H60" s="899"/>
      <c r="I60" s="917">
        <v>0</v>
      </c>
      <c r="J60" s="917">
        <v>0</v>
      </c>
      <c r="K60" s="886">
        <f t="shared" si="83"/>
        <v>0</v>
      </c>
      <c r="L60" s="884"/>
      <c r="M60" s="899"/>
      <c r="N60" s="917">
        <v>0</v>
      </c>
      <c r="O60" s="917">
        <v>0</v>
      </c>
      <c r="P60" s="887">
        <f t="shared" si="84"/>
        <v>0</v>
      </c>
      <c r="Q60" s="884"/>
      <c r="R60" s="918"/>
      <c r="S60" s="919"/>
      <c r="T60" s="884"/>
      <c r="U60" s="918"/>
      <c r="V60" s="919"/>
      <c r="W60" s="884"/>
      <c r="X60" s="899"/>
      <c r="Y60" s="899">
        <f t="shared" si="90"/>
        <v>0</v>
      </c>
      <c r="Z60" s="899">
        <f t="shared" si="90"/>
        <v>0</v>
      </c>
      <c r="AA60" s="886">
        <f t="shared" si="85"/>
        <v>0</v>
      </c>
      <c r="AB60" s="884"/>
      <c r="AC60" s="899"/>
      <c r="AD60" s="918"/>
      <c r="AE60" s="918"/>
      <c r="AF60" s="886">
        <f t="shared" si="86"/>
        <v>0</v>
      </c>
      <c r="AG60" s="884"/>
      <c r="AH60" s="918"/>
      <c r="AI60" s="919"/>
      <c r="AJ60" s="884"/>
      <c r="AK60" s="918"/>
      <c r="AL60" s="919"/>
      <c r="AM60" s="884"/>
      <c r="AN60" s="918"/>
      <c r="AO60" s="919"/>
      <c r="AP60" s="884"/>
      <c r="AQ60" s="918"/>
      <c r="AR60" s="919"/>
      <c r="AS60" s="903"/>
      <c r="AT60" s="874"/>
      <c r="AU60" s="884"/>
      <c r="AV60" s="899"/>
      <c r="AW60" s="899">
        <f t="shared" si="91"/>
        <v>0</v>
      </c>
      <c r="AX60" s="899">
        <f t="shared" si="91"/>
        <v>0</v>
      </c>
      <c r="AY60" s="891"/>
      <c r="AZ60" s="904"/>
      <c r="BA60" s="904">
        <f t="shared" si="92"/>
        <v>0</v>
      </c>
      <c r="BB60" s="904">
        <f t="shared" si="92"/>
        <v>0</v>
      </c>
      <c r="BC60" s="884"/>
      <c r="BD60" s="899"/>
      <c r="BE60" s="899">
        <f t="shared" si="93"/>
        <v>0</v>
      </c>
      <c r="BF60" s="899">
        <f t="shared" si="93"/>
        <v>0</v>
      </c>
      <c r="BG60" s="891">
        <f t="shared" si="87"/>
        <v>0</v>
      </c>
      <c r="BH60" s="904">
        <f t="shared" si="88"/>
        <v>0</v>
      </c>
      <c r="BI60" s="906">
        <f t="shared" si="89"/>
        <v>0</v>
      </c>
      <c r="BJ60" s="905"/>
      <c r="BK60" s="874"/>
      <c r="BL60" s="884"/>
      <c r="BM60" s="899"/>
      <c r="BN60" s="899">
        <f t="shared" si="94"/>
        <v>0</v>
      </c>
      <c r="BO60" s="899">
        <f t="shared" si="94"/>
        <v>0</v>
      </c>
      <c r="BP60" s="884"/>
      <c r="BQ60" s="899"/>
      <c r="BR60" s="904">
        <f t="shared" si="95"/>
        <v>0</v>
      </c>
      <c r="BS60" s="906">
        <f t="shared" si="95"/>
        <v>0</v>
      </c>
      <c r="BT60" s="874"/>
      <c r="BU60" s="884"/>
      <c r="BV60" s="899"/>
      <c r="BW60" s="899">
        <f t="shared" si="96"/>
        <v>0</v>
      </c>
      <c r="BX60" s="899">
        <f t="shared" si="96"/>
        <v>0</v>
      </c>
      <c r="BY60" s="891"/>
      <c r="BZ60" s="904"/>
      <c r="CA60" s="904">
        <f t="shared" si="97"/>
        <v>0</v>
      </c>
      <c r="CB60" s="906">
        <f t="shared" si="97"/>
        <v>0</v>
      </c>
      <c r="CC60" s="874"/>
      <c r="CD60" s="874"/>
      <c r="CE60" s="874"/>
      <c r="CF60" s="874"/>
      <c r="CG60" s="874"/>
      <c r="CH60" s="874"/>
      <c r="CI60" s="874"/>
      <c r="CJ60" s="874"/>
      <c r="CK60" s="874"/>
      <c r="CL60" s="874"/>
      <c r="CM60" s="874"/>
      <c r="CN60" s="874"/>
      <c r="CO60" s="874"/>
      <c r="CP60" s="874"/>
      <c r="CQ60" s="874"/>
      <c r="CR60" s="874"/>
      <c r="CS60" s="874"/>
      <c r="CT60" s="874"/>
      <c r="CU60" s="874"/>
      <c r="CV60" s="874"/>
      <c r="CW60" s="874"/>
      <c r="CX60" s="874"/>
      <c r="CY60" s="874"/>
      <c r="CZ60" s="874"/>
      <c r="DA60" s="874"/>
      <c r="DB60" s="874"/>
      <c r="DC60" s="874"/>
      <c r="DD60" s="874"/>
      <c r="DE60" s="874"/>
      <c r="DF60" s="874"/>
      <c r="DG60" s="874"/>
      <c r="DH60" s="874"/>
      <c r="DI60" s="874"/>
      <c r="DJ60" s="874"/>
      <c r="DK60" s="874"/>
      <c r="DL60" s="874"/>
      <c r="DM60" s="874"/>
      <c r="DN60" s="874"/>
      <c r="DO60" s="874"/>
      <c r="DP60" s="874"/>
      <c r="DQ60" s="874"/>
      <c r="DR60" s="874"/>
      <c r="DS60" s="874"/>
      <c r="DT60" s="874"/>
      <c r="DU60" s="874"/>
      <c r="DV60" s="874"/>
      <c r="DW60" s="874"/>
      <c r="DX60" s="874"/>
      <c r="DY60" s="874"/>
      <c r="DZ60" s="874"/>
      <c r="EA60" s="874"/>
    </row>
    <row r="61" spans="1:131" ht="20.25" hidden="1">
      <c r="A61" s="896" t="s">
        <v>706</v>
      </c>
      <c r="B61" s="884"/>
      <c r="C61" s="917">
        <v>0</v>
      </c>
      <c r="D61" s="899"/>
      <c r="E61" s="899"/>
      <c r="F61" s="902"/>
      <c r="G61" s="884"/>
      <c r="H61" s="917">
        <v>0</v>
      </c>
      <c r="I61" s="899"/>
      <c r="J61" s="899"/>
      <c r="K61" s="902"/>
      <c r="L61" s="884"/>
      <c r="M61" s="917">
        <v>0</v>
      </c>
      <c r="N61" s="899"/>
      <c r="O61" s="899"/>
      <c r="P61" s="907"/>
      <c r="Q61" s="920"/>
      <c r="R61" s="899"/>
      <c r="S61" s="902"/>
      <c r="T61" s="920"/>
      <c r="U61" s="899"/>
      <c r="V61" s="902"/>
      <c r="W61" s="884"/>
      <c r="X61" s="899">
        <f>M61+Q61-T61</f>
        <v>0</v>
      </c>
      <c r="Y61" s="899"/>
      <c r="Z61" s="899"/>
      <c r="AA61" s="902"/>
      <c r="AB61" s="884"/>
      <c r="AC61" s="918"/>
      <c r="AD61" s="899"/>
      <c r="AE61" s="899"/>
      <c r="AF61" s="902"/>
      <c r="AG61" s="920"/>
      <c r="AH61" s="899"/>
      <c r="AI61" s="902"/>
      <c r="AJ61" s="920"/>
      <c r="AK61" s="899"/>
      <c r="AL61" s="902"/>
      <c r="AM61" s="920"/>
      <c r="AN61" s="899"/>
      <c r="AO61" s="902"/>
      <c r="AP61" s="920"/>
      <c r="AQ61" s="899"/>
      <c r="AR61" s="902"/>
      <c r="AS61" s="903"/>
      <c r="AT61" s="874"/>
      <c r="AU61" s="884"/>
      <c r="AV61" s="899">
        <f>AC61-M61</f>
        <v>0</v>
      </c>
      <c r="AW61" s="899"/>
      <c r="AX61" s="899"/>
      <c r="AY61" s="891"/>
      <c r="AZ61" s="904">
        <f>IF(M61=0,0,AC61/M61*100)</f>
        <v>0</v>
      </c>
      <c r="BA61" s="904"/>
      <c r="BB61" s="904"/>
      <c r="BC61" s="884"/>
      <c r="BD61" s="899">
        <f>AC61-M61-AG61-AJ61-AM61-AP61</f>
        <v>0</v>
      </c>
      <c r="BE61" s="899"/>
      <c r="BF61" s="899"/>
      <c r="BG61" s="884"/>
      <c r="BH61" s="899"/>
      <c r="BI61" s="902"/>
      <c r="BJ61" s="905"/>
      <c r="BK61" s="874"/>
      <c r="BL61" s="884"/>
      <c r="BM61" s="899">
        <f>AC61-X61</f>
        <v>0</v>
      </c>
      <c r="BN61" s="899"/>
      <c r="BO61" s="899"/>
      <c r="BP61" s="884"/>
      <c r="BQ61" s="904">
        <f>IF(X61=0,0,AC61/X61*100)</f>
        <v>0</v>
      </c>
      <c r="BR61" s="899"/>
      <c r="BS61" s="902"/>
      <c r="BT61" s="874"/>
      <c r="BU61" s="884"/>
      <c r="BV61" s="899">
        <f>AC61-C61</f>
        <v>0</v>
      </c>
      <c r="BW61" s="899"/>
      <c r="BX61" s="899"/>
      <c r="BY61" s="891"/>
      <c r="BZ61" s="904">
        <f>IF(C61=0,0,AC61/C61*100)</f>
        <v>0</v>
      </c>
      <c r="CA61" s="904"/>
      <c r="CB61" s="906"/>
      <c r="CC61" s="874"/>
      <c r="CD61" s="874"/>
      <c r="CE61" s="874"/>
      <c r="CF61" s="874"/>
      <c r="CG61" s="874"/>
      <c r="CH61" s="874"/>
      <c r="CI61" s="874"/>
      <c r="CJ61" s="874"/>
      <c r="CK61" s="874"/>
      <c r="CL61" s="874"/>
      <c r="CM61" s="874"/>
      <c r="CN61" s="874"/>
      <c r="CO61" s="874"/>
      <c r="CP61" s="874"/>
      <c r="CQ61" s="874"/>
      <c r="CR61" s="874"/>
      <c r="CS61" s="874"/>
      <c r="CT61" s="874"/>
      <c r="CU61" s="874"/>
      <c r="CV61" s="874"/>
      <c r="CW61" s="874"/>
      <c r="CX61" s="874"/>
      <c r="CY61" s="874"/>
      <c r="CZ61" s="874"/>
      <c r="DA61" s="874"/>
      <c r="DB61" s="874"/>
      <c r="DC61" s="874"/>
      <c r="DD61" s="874"/>
      <c r="DE61" s="874"/>
      <c r="DF61" s="874"/>
      <c r="DG61" s="874"/>
      <c r="DH61" s="874"/>
      <c r="DI61" s="874"/>
      <c r="DJ61" s="874"/>
      <c r="DK61" s="874"/>
      <c r="DL61" s="874"/>
      <c r="DM61" s="874"/>
      <c r="DN61" s="874"/>
      <c r="DO61" s="874"/>
      <c r="DP61" s="874"/>
      <c r="DQ61" s="874"/>
      <c r="DR61" s="874"/>
      <c r="DS61" s="874"/>
      <c r="DT61" s="874"/>
      <c r="DU61" s="874"/>
      <c r="DV61" s="874"/>
      <c r="DW61" s="874"/>
      <c r="DX61" s="874"/>
      <c r="DY61" s="874"/>
      <c r="DZ61" s="874"/>
      <c r="EA61" s="874"/>
    </row>
    <row r="62" spans="1:131" ht="18" hidden="1" customHeight="1" outlineLevel="1">
      <c r="A62" s="921" t="s">
        <v>712</v>
      </c>
      <c r="B62" s="884">
        <f>C62+D62</f>
        <v>0</v>
      </c>
      <c r="C62" s="917">
        <v>0</v>
      </c>
      <c r="D62" s="899">
        <f>SUM(D63:D64,D67:D68)</f>
        <v>0</v>
      </c>
      <c r="E62" s="899">
        <f>SUM(E63:E64,E67:E68)</f>
        <v>0</v>
      </c>
      <c r="F62" s="886">
        <f t="shared" ref="F62:F68" si="98">IF(E62=0,0,ROUND(D62/E62/12,0))</f>
        <v>0</v>
      </c>
      <c r="G62" s="884">
        <f>H62+I62</f>
        <v>0</v>
      </c>
      <c r="H62" s="917">
        <v>0</v>
      </c>
      <c r="I62" s="899">
        <f>SUM(I63:I64,I67:I68)</f>
        <v>0</v>
      </c>
      <c r="J62" s="899">
        <f>SUM(J63:J64,J67:J68)</f>
        <v>0</v>
      </c>
      <c r="K62" s="886">
        <f t="shared" ref="K62:K68" si="99">IF(J62=0,0,ROUND(I62/J62/12,0))</f>
        <v>0</v>
      </c>
      <c r="L62" s="884">
        <f>M62+N62</f>
        <v>0</v>
      </c>
      <c r="M62" s="917">
        <v>0</v>
      </c>
      <c r="N62" s="899">
        <f>SUM(N63:N64,N67:N68)</f>
        <v>0</v>
      </c>
      <c r="O62" s="899">
        <f>SUM(O63:O64,O67:O68)</f>
        <v>0</v>
      </c>
      <c r="P62" s="887">
        <f t="shared" ref="P62:P68" si="100">IF(O62=0,0,ROUND(N62/O62/12,0))</f>
        <v>0</v>
      </c>
      <c r="Q62" s="920"/>
      <c r="R62" s="899">
        <f>SUM(R63:R64,R67:R68)</f>
        <v>0</v>
      </c>
      <c r="S62" s="902">
        <f>SUM(S63:S64,S67:S68)</f>
        <v>0</v>
      </c>
      <c r="T62" s="920"/>
      <c r="U62" s="899">
        <f>SUM(U63:U64,U67:U68)</f>
        <v>0</v>
      </c>
      <c r="V62" s="902">
        <f>SUM(V63:V64,V67:V68)</f>
        <v>0</v>
      </c>
      <c r="W62" s="884">
        <f>X62+Y62</f>
        <v>0</v>
      </c>
      <c r="X62" s="899">
        <f>M62+Q62-T62</f>
        <v>0</v>
      </c>
      <c r="Y62" s="899">
        <f>SUM(Y63:Y64,Y67:Y68)</f>
        <v>0</v>
      </c>
      <c r="Z62" s="899">
        <f>SUM(Z63:Z64,Z67:Z68)</f>
        <v>0</v>
      </c>
      <c r="AA62" s="886">
        <f t="shared" ref="AA62:AA68" si="101">IF(Z62=0,0,ROUND(Y62/Z62/12,0))</f>
        <v>0</v>
      </c>
      <c r="AB62" s="884">
        <f>AC62+AD62</f>
        <v>0</v>
      </c>
      <c r="AC62" s="918"/>
      <c r="AD62" s="899">
        <f>SUM(AD63:AD64,AD67:AD68)</f>
        <v>0</v>
      </c>
      <c r="AE62" s="899">
        <f>SUM(AE63:AE64,AE67:AE68)</f>
        <v>0</v>
      </c>
      <c r="AF62" s="886">
        <f t="shared" ref="AF62:AF68" si="102">IF(AE62=0,0,ROUND(AD62/AE62/12,0))</f>
        <v>0</v>
      </c>
      <c r="AG62" s="920"/>
      <c r="AH62" s="899">
        <f>SUM(AH63:AH64,AH67:AH68)</f>
        <v>0</v>
      </c>
      <c r="AI62" s="902">
        <f>SUM(AI63:AI64,AI67:AI68)</f>
        <v>0</v>
      </c>
      <c r="AJ62" s="920"/>
      <c r="AK62" s="899">
        <f>SUM(AK63:AK64,AK67:AK68)</f>
        <v>0</v>
      </c>
      <c r="AL62" s="902">
        <f>SUM(AL63:AL64,AL67:AL68)</f>
        <v>0</v>
      </c>
      <c r="AM62" s="920"/>
      <c r="AN62" s="899">
        <f>SUM(AN63:AN64,AN67:AN68)</f>
        <v>0</v>
      </c>
      <c r="AO62" s="902">
        <f>SUM(AO63:AO64,AO67:AO68)</f>
        <v>0</v>
      </c>
      <c r="AP62" s="920"/>
      <c r="AQ62" s="899">
        <f>SUM(AQ63:AQ64,AQ67:AQ68)</f>
        <v>0</v>
      </c>
      <c r="AR62" s="902">
        <f>SUM(AR63:AR64,AR67:AR68)</f>
        <v>0</v>
      </c>
      <c r="AS62" s="903"/>
      <c r="AT62" s="874"/>
      <c r="AU62" s="884">
        <f>AV62+AW62</f>
        <v>0</v>
      </c>
      <c r="AV62" s="899">
        <f>AC62-M62</f>
        <v>0</v>
      </c>
      <c r="AW62" s="899">
        <f>SUM(AW63:AW64,AW67:AW68)</f>
        <v>0</v>
      </c>
      <c r="AX62" s="899">
        <f>SUM(AX63:AX64,AX67:AX68)</f>
        <v>0</v>
      </c>
      <c r="AY62" s="891">
        <f>IF(L62=0,0,AB62/L62*100)</f>
        <v>0</v>
      </c>
      <c r="AZ62" s="904">
        <f>IF(M62=0,0,AC62/M62*100)</f>
        <v>0</v>
      </c>
      <c r="BA62" s="904">
        <f t="shared" ref="BA62:BB68" si="103">IF(N62=0,0,AD62/N62*100)</f>
        <v>0</v>
      </c>
      <c r="BB62" s="904">
        <f t="shared" si="103"/>
        <v>0</v>
      </c>
      <c r="BC62" s="884">
        <f>BD62+BE62</f>
        <v>0</v>
      </c>
      <c r="BD62" s="899">
        <f>AC62-M62-AG62-AJ62-AM62-AP62</f>
        <v>0</v>
      </c>
      <c r="BE62" s="899">
        <f>SUM(BE63:BE64,BE67:BE68)</f>
        <v>0</v>
      </c>
      <c r="BF62" s="899">
        <f>SUM(BF63:BF64,BF67:BF68)</f>
        <v>0</v>
      </c>
      <c r="BG62" s="891">
        <f t="shared" ref="BG62:BG68" si="104">IF(F62=0,0,AF62/F62*100)</f>
        <v>0</v>
      </c>
      <c r="BH62" s="904">
        <f t="shared" ref="BH62:BH68" si="105">IF(K62=0,0,AF62/K62*100)</f>
        <v>0</v>
      </c>
      <c r="BI62" s="906">
        <f t="shared" ref="BI62:BI68" si="106">IF(P62=0,0,AF62/P62*100)</f>
        <v>0</v>
      </c>
      <c r="BJ62" s="905"/>
      <c r="BK62" s="874"/>
      <c r="BL62" s="884">
        <f>BM62+BN62</f>
        <v>0</v>
      </c>
      <c r="BM62" s="899">
        <f>AC62-X62</f>
        <v>0</v>
      </c>
      <c r="BN62" s="899">
        <f>SUM(BN63:BN64,BN67:BN68)</f>
        <v>0</v>
      </c>
      <c r="BO62" s="899">
        <f>SUM(BO63:BO64,BO67:BO68)</f>
        <v>0</v>
      </c>
      <c r="BP62" s="891">
        <f>IF(W62=0,0,AB62/W62*100)</f>
        <v>0</v>
      </c>
      <c r="BQ62" s="904">
        <f>IF(X62=0,0,AC62/X62*100)</f>
        <v>0</v>
      </c>
      <c r="BR62" s="904">
        <f t="shared" ref="BR62:BS68" si="107">IF(Y62=0,0,AD62/Y62*100)</f>
        <v>0</v>
      </c>
      <c r="BS62" s="906">
        <f t="shared" si="107"/>
        <v>0</v>
      </c>
      <c r="BT62" s="874"/>
      <c r="BU62" s="884">
        <f>BV62+BW62</f>
        <v>0</v>
      </c>
      <c r="BV62" s="899">
        <f>AC62-C62</f>
        <v>0</v>
      </c>
      <c r="BW62" s="899">
        <f>SUM(BW63:BW64,BW67:BW68)</f>
        <v>0</v>
      </c>
      <c r="BX62" s="899">
        <f>SUM(BX63:BX64,BX67:BX68)</f>
        <v>0</v>
      </c>
      <c r="BY62" s="891">
        <f>IF(B62=0,0,AB62/B62*100)</f>
        <v>0</v>
      </c>
      <c r="BZ62" s="904">
        <f>IF(C62=0,0,AC62/C62*100)</f>
        <v>0</v>
      </c>
      <c r="CA62" s="904">
        <f t="shared" ref="CA62:CB68" si="108">IF(D62=0,0,AD62/D62*100)</f>
        <v>0</v>
      </c>
      <c r="CB62" s="906">
        <f t="shared" si="108"/>
        <v>0</v>
      </c>
      <c r="CC62" s="874"/>
      <c r="CD62" s="874"/>
      <c r="CE62" s="874"/>
      <c r="CF62" s="874"/>
      <c r="CG62" s="874"/>
      <c r="CH62" s="874"/>
      <c r="CI62" s="874"/>
      <c r="CJ62" s="874"/>
      <c r="CK62" s="874"/>
      <c r="CL62" s="874"/>
      <c r="CM62" s="874"/>
      <c r="CN62" s="874"/>
      <c r="CO62" s="874"/>
      <c r="CP62" s="874"/>
      <c r="CQ62" s="874"/>
      <c r="CR62" s="874"/>
      <c r="CS62" s="874"/>
      <c r="CT62" s="874"/>
      <c r="CU62" s="874"/>
      <c r="CV62" s="874"/>
      <c r="CW62" s="874"/>
      <c r="CX62" s="874"/>
      <c r="CY62" s="874"/>
      <c r="CZ62" s="874"/>
      <c r="DA62" s="874"/>
      <c r="DB62" s="874"/>
      <c r="DC62" s="874"/>
      <c r="DD62" s="874"/>
      <c r="DE62" s="874"/>
      <c r="DF62" s="874"/>
      <c r="DG62" s="874"/>
      <c r="DH62" s="874"/>
      <c r="DI62" s="874"/>
      <c r="DJ62" s="874"/>
      <c r="DK62" s="874"/>
      <c r="DL62" s="874"/>
      <c r="DM62" s="874"/>
      <c r="DN62" s="874"/>
      <c r="DO62" s="874"/>
      <c r="DP62" s="874"/>
      <c r="DQ62" s="874"/>
      <c r="DR62" s="874"/>
      <c r="DS62" s="874"/>
      <c r="DT62" s="874"/>
      <c r="DU62" s="874"/>
      <c r="DV62" s="874"/>
      <c r="DW62" s="874"/>
      <c r="DX62" s="874"/>
      <c r="DY62" s="874"/>
      <c r="DZ62" s="874"/>
      <c r="EA62" s="874"/>
    </row>
    <row r="63" spans="1:131" ht="20.25" hidden="1" outlineLevel="1">
      <c r="A63" s="883" t="s">
        <v>700</v>
      </c>
      <c r="B63" s="884"/>
      <c r="C63" s="899"/>
      <c r="D63" s="917">
        <v>0</v>
      </c>
      <c r="E63" s="917">
        <v>0</v>
      </c>
      <c r="F63" s="886">
        <f t="shared" si="98"/>
        <v>0</v>
      </c>
      <c r="G63" s="884"/>
      <c r="H63" s="899"/>
      <c r="I63" s="917">
        <v>0</v>
      </c>
      <c r="J63" s="917">
        <v>0</v>
      </c>
      <c r="K63" s="886">
        <f t="shared" si="99"/>
        <v>0</v>
      </c>
      <c r="L63" s="884"/>
      <c r="M63" s="899"/>
      <c r="N63" s="917">
        <v>0</v>
      </c>
      <c r="O63" s="917">
        <v>0</v>
      </c>
      <c r="P63" s="887">
        <f t="shared" si="100"/>
        <v>0</v>
      </c>
      <c r="Q63" s="884"/>
      <c r="R63" s="918"/>
      <c r="S63" s="919"/>
      <c r="T63" s="884"/>
      <c r="U63" s="918"/>
      <c r="V63" s="919"/>
      <c r="W63" s="884"/>
      <c r="X63" s="899"/>
      <c r="Y63" s="899">
        <f t="shared" ref="Y63:Z68" si="109">N63+R63-U63</f>
        <v>0</v>
      </c>
      <c r="Z63" s="899">
        <f t="shared" si="109"/>
        <v>0</v>
      </c>
      <c r="AA63" s="886">
        <f t="shared" si="101"/>
        <v>0</v>
      </c>
      <c r="AB63" s="884"/>
      <c r="AC63" s="899"/>
      <c r="AD63" s="918"/>
      <c r="AE63" s="918"/>
      <c r="AF63" s="886">
        <f t="shared" si="102"/>
        <v>0</v>
      </c>
      <c r="AG63" s="884"/>
      <c r="AH63" s="918"/>
      <c r="AI63" s="919"/>
      <c r="AJ63" s="884"/>
      <c r="AK63" s="918"/>
      <c r="AL63" s="919"/>
      <c r="AM63" s="884"/>
      <c r="AN63" s="918"/>
      <c r="AO63" s="919"/>
      <c r="AP63" s="884"/>
      <c r="AQ63" s="918"/>
      <c r="AR63" s="919"/>
      <c r="AS63" s="903"/>
      <c r="AT63" s="874"/>
      <c r="AU63" s="884"/>
      <c r="AV63" s="899"/>
      <c r="AW63" s="899">
        <f t="shared" ref="AW63:AX68" si="110">AD63-N63</f>
        <v>0</v>
      </c>
      <c r="AX63" s="899">
        <f t="shared" si="110"/>
        <v>0</v>
      </c>
      <c r="AY63" s="891"/>
      <c r="AZ63" s="904"/>
      <c r="BA63" s="904">
        <f t="shared" si="103"/>
        <v>0</v>
      </c>
      <c r="BB63" s="904">
        <f t="shared" si="103"/>
        <v>0</v>
      </c>
      <c r="BC63" s="884"/>
      <c r="BD63" s="899"/>
      <c r="BE63" s="899">
        <f t="shared" ref="BE63:BF68" si="111">AD63-N63-AH63-AK63-AN63-AQ63</f>
        <v>0</v>
      </c>
      <c r="BF63" s="899">
        <f t="shared" si="111"/>
        <v>0</v>
      </c>
      <c r="BG63" s="891">
        <f t="shared" si="104"/>
        <v>0</v>
      </c>
      <c r="BH63" s="904">
        <f t="shared" si="105"/>
        <v>0</v>
      </c>
      <c r="BI63" s="906">
        <f t="shared" si="106"/>
        <v>0</v>
      </c>
      <c r="BJ63" s="905"/>
      <c r="BK63" s="874"/>
      <c r="BL63" s="884"/>
      <c r="BM63" s="899"/>
      <c r="BN63" s="899">
        <f t="shared" ref="BN63:BO68" si="112">AD63-Y63</f>
        <v>0</v>
      </c>
      <c r="BO63" s="899">
        <f t="shared" si="112"/>
        <v>0</v>
      </c>
      <c r="BP63" s="884"/>
      <c r="BQ63" s="899"/>
      <c r="BR63" s="904">
        <f t="shared" si="107"/>
        <v>0</v>
      </c>
      <c r="BS63" s="906">
        <f t="shared" si="107"/>
        <v>0</v>
      </c>
      <c r="BT63" s="874"/>
      <c r="BU63" s="884"/>
      <c r="BV63" s="899"/>
      <c r="BW63" s="899">
        <f t="shared" ref="BW63:BX68" si="113">AD63-D63</f>
        <v>0</v>
      </c>
      <c r="BX63" s="899">
        <f t="shared" si="113"/>
        <v>0</v>
      </c>
      <c r="BY63" s="891"/>
      <c r="BZ63" s="904"/>
      <c r="CA63" s="904">
        <f t="shared" si="108"/>
        <v>0</v>
      </c>
      <c r="CB63" s="906">
        <f t="shared" si="108"/>
        <v>0</v>
      </c>
      <c r="CC63" s="874"/>
      <c r="CD63" s="874"/>
      <c r="CE63" s="874"/>
      <c r="CF63" s="874"/>
      <c r="CG63" s="874"/>
      <c r="CH63" s="874"/>
      <c r="CI63" s="874"/>
      <c r="CJ63" s="874"/>
      <c r="CK63" s="874"/>
      <c r="CL63" s="874"/>
      <c r="CM63" s="874"/>
      <c r="CN63" s="874"/>
      <c r="CO63" s="874"/>
      <c r="CP63" s="874"/>
      <c r="CQ63" s="874"/>
      <c r="CR63" s="874"/>
      <c r="CS63" s="874"/>
      <c r="CT63" s="874"/>
      <c r="CU63" s="874"/>
      <c r="CV63" s="874"/>
      <c r="CW63" s="874"/>
      <c r="CX63" s="874"/>
      <c r="CY63" s="874"/>
      <c r="CZ63" s="874"/>
      <c r="DA63" s="874"/>
      <c r="DB63" s="874"/>
      <c r="DC63" s="874"/>
      <c r="DD63" s="874"/>
      <c r="DE63" s="874"/>
      <c r="DF63" s="874"/>
      <c r="DG63" s="874"/>
      <c r="DH63" s="874"/>
      <c r="DI63" s="874"/>
      <c r="DJ63" s="874"/>
      <c r="DK63" s="874"/>
      <c r="DL63" s="874"/>
      <c r="DM63" s="874"/>
      <c r="DN63" s="874"/>
      <c r="DO63" s="874"/>
      <c r="DP63" s="874"/>
      <c r="DQ63" s="874"/>
      <c r="DR63" s="874"/>
      <c r="DS63" s="874"/>
      <c r="DT63" s="874"/>
      <c r="DU63" s="874"/>
      <c r="DV63" s="874"/>
      <c r="DW63" s="874"/>
      <c r="DX63" s="874"/>
      <c r="DY63" s="874"/>
      <c r="DZ63" s="874"/>
      <c r="EA63" s="874"/>
    </row>
    <row r="64" spans="1:131" ht="20.25" hidden="1" outlineLevel="1">
      <c r="A64" s="896" t="s">
        <v>701</v>
      </c>
      <c r="B64" s="884"/>
      <c r="C64" s="899"/>
      <c r="D64" s="917">
        <v>0</v>
      </c>
      <c r="E64" s="917">
        <v>0</v>
      </c>
      <c r="F64" s="886">
        <f t="shared" si="98"/>
        <v>0</v>
      </c>
      <c r="G64" s="884"/>
      <c r="H64" s="899"/>
      <c r="I64" s="917">
        <v>0</v>
      </c>
      <c r="J64" s="917">
        <v>0</v>
      </c>
      <c r="K64" s="886">
        <f t="shared" si="99"/>
        <v>0</v>
      </c>
      <c r="L64" s="884"/>
      <c r="M64" s="899"/>
      <c r="N64" s="917">
        <v>0</v>
      </c>
      <c r="O64" s="917">
        <v>0</v>
      </c>
      <c r="P64" s="887">
        <f t="shared" si="100"/>
        <v>0</v>
      </c>
      <c r="Q64" s="884"/>
      <c r="R64" s="918">
        <v>0</v>
      </c>
      <c r="S64" s="919">
        <v>0</v>
      </c>
      <c r="T64" s="884"/>
      <c r="U64" s="918">
        <v>0</v>
      </c>
      <c r="V64" s="919">
        <v>0</v>
      </c>
      <c r="W64" s="884"/>
      <c r="X64" s="899"/>
      <c r="Y64" s="899">
        <f t="shared" si="109"/>
        <v>0</v>
      </c>
      <c r="Z64" s="899">
        <f t="shared" si="109"/>
        <v>0</v>
      </c>
      <c r="AA64" s="886">
        <f t="shared" si="101"/>
        <v>0</v>
      </c>
      <c r="AB64" s="884"/>
      <c r="AC64" s="899"/>
      <c r="AD64" s="918">
        <v>0</v>
      </c>
      <c r="AE64" s="918">
        <v>0</v>
      </c>
      <c r="AF64" s="886">
        <f t="shared" si="102"/>
        <v>0</v>
      </c>
      <c r="AG64" s="884"/>
      <c r="AH64" s="918">
        <v>0</v>
      </c>
      <c r="AI64" s="919">
        <v>0</v>
      </c>
      <c r="AJ64" s="884"/>
      <c r="AK64" s="918">
        <v>0</v>
      </c>
      <c r="AL64" s="919">
        <v>0</v>
      </c>
      <c r="AM64" s="884"/>
      <c r="AN64" s="918">
        <v>0</v>
      </c>
      <c r="AO64" s="919">
        <v>0</v>
      </c>
      <c r="AP64" s="884"/>
      <c r="AQ64" s="918">
        <v>0</v>
      </c>
      <c r="AR64" s="919">
        <v>0</v>
      </c>
      <c r="AS64" s="903"/>
      <c r="AT64" s="874"/>
      <c r="AU64" s="884"/>
      <c r="AV64" s="899"/>
      <c r="AW64" s="899">
        <f t="shared" si="110"/>
        <v>0</v>
      </c>
      <c r="AX64" s="899">
        <f t="shared" si="110"/>
        <v>0</v>
      </c>
      <c r="AY64" s="891"/>
      <c r="AZ64" s="904"/>
      <c r="BA64" s="904">
        <f t="shared" si="103"/>
        <v>0</v>
      </c>
      <c r="BB64" s="904">
        <f t="shared" si="103"/>
        <v>0</v>
      </c>
      <c r="BC64" s="884"/>
      <c r="BD64" s="899"/>
      <c r="BE64" s="899">
        <f t="shared" si="111"/>
        <v>0</v>
      </c>
      <c r="BF64" s="899">
        <f t="shared" si="111"/>
        <v>0</v>
      </c>
      <c r="BG64" s="891">
        <f t="shared" si="104"/>
        <v>0</v>
      </c>
      <c r="BH64" s="904">
        <f t="shared" si="105"/>
        <v>0</v>
      </c>
      <c r="BI64" s="906">
        <f t="shared" si="106"/>
        <v>0</v>
      </c>
      <c r="BJ64" s="905"/>
      <c r="BK64" s="874"/>
      <c r="BL64" s="884"/>
      <c r="BM64" s="899"/>
      <c r="BN64" s="899">
        <f t="shared" si="112"/>
        <v>0</v>
      </c>
      <c r="BO64" s="899">
        <f t="shared" si="112"/>
        <v>0</v>
      </c>
      <c r="BP64" s="884"/>
      <c r="BQ64" s="899"/>
      <c r="BR64" s="904">
        <f t="shared" si="107"/>
        <v>0</v>
      </c>
      <c r="BS64" s="906">
        <f t="shared" si="107"/>
        <v>0</v>
      </c>
      <c r="BT64" s="874"/>
      <c r="BU64" s="884"/>
      <c r="BV64" s="899"/>
      <c r="BW64" s="899">
        <f t="shared" si="113"/>
        <v>0</v>
      </c>
      <c r="BX64" s="899">
        <f t="shared" si="113"/>
        <v>0</v>
      </c>
      <c r="BY64" s="891"/>
      <c r="BZ64" s="904"/>
      <c r="CA64" s="904">
        <f t="shared" si="108"/>
        <v>0</v>
      </c>
      <c r="CB64" s="906">
        <f t="shared" si="108"/>
        <v>0</v>
      </c>
      <c r="CC64" s="874"/>
      <c r="CD64" s="874"/>
      <c r="CE64" s="874"/>
      <c r="CF64" s="874"/>
      <c r="CG64" s="874"/>
      <c r="CH64" s="874"/>
      <c r="CI64" s="874"/>
      <c r="CJ64" s="874"/>
      <c r="CK64" s="874"/>
      <c r="CL64" s="874"/>
      <c r="CM64" s="874"/>
      <c r="CN64" s="874"/>
      <c r="CO64" s="874"/>
      <c r="CP64" s="874"/>
      <c r="CQ64" s="874"/>
      <c r="CR64" s="874"/>
      <c r="CS64" s="874"/>
      <c r="CT64" s="874"/>
      <c r="CU64" s="874"/>
      <c r="CV64" s="874"/>
      <c r="CW64" s="874"/>
      <c r="CX64" s="874"/>
      <c r="CY64" s="874"/>
      <c r="CZ64" s="874"/>
      <c r="DA64" s="874"/>
      <c r="DB64" s="874"/>
      <c r="DC64" s="874"/>
      <c r="DD64" s="874"/>
      <c r="DE64" s="874"/>
      <c r="DF64" s="874"/>
      <c r="DG64" s="874"/>
      <c r="DH64" s="874"/>
      <c r="DI64" s="874"/>
      <c r="DJ64" s="874"/>
      <c r="DK64" s="874"/>
      <c r="DL64" s="874"/>
      <c r="DM64" s="874"/>
      <c r="DN64" s="874"/>
      <c r="DO64" s="874"/>
      <c r="DP64" s="874"/>
      <c r="DQ64" s="874"/>
      <c r="DR64" s="874"/>
      <c r="DS64" s="874"/>
      <c r="DT64" s="874"/>
      <c r="DU64" s="874"/>
      <c r="DV64" s="874"/>
      <c r="DW64" s="874"/>
      <c r="DX64" s="874"/>
      <c r="DY64" s="874"/>
      <c r="DZ64" s="874"/>
      <c r="EA64" s="874"/>
    </row>
    <row r="65" spans="1:131" ht="20.25" hidden="1" outlineLevel="1">
      <c r="A65" s="896" t="s">
        <v>702</v>
      </c>
      <c r="B65" s="884"/>
      <c r="C65" s="899"/>
      <c r="D65" s="917">
        <v>0</v>
      </c>
      <c r="E65" s="917">
        <v>0</v>
      </c>
      <c r="F65" s="886">
        <f t="shared" si="98"/>
        <v>0</v>
      </c>
      <c r="G65" s="884"/>
      <c r="H65" s="899"/>
      <c r="I65" s="917">
        <v>0</v>
      </c>
      <c r="J65" s="917">
        <v>0</v>
      </c>
      <c r="K65" s="886">
        <f t="shared" si="99"/>
        <v>0</v>
      </c>
      <c r="L65" s="884"/>
      <c r="M65" s="899"/>
      <c r="N65" s="917">
        <v>0</v>
      </c>
      <c r="O65" s="917">
        <v>0</v>
      </c>
      <c r="P65" s="887">
        <f t="shared" si="100"/>
        <v>0</v>
      </c>
      <c r="Q65" s="884"/>
      <c r="R65" s="918"/>
      <c r="S65" s="919"/>
      <c r="T65" s="884"/>
      <c r="U65" s="918"/>
      <c r="V65" s="919"/>
      <c r="W65" s="884"/>
      <c r="X65" s="899"/>
      <c r="Y65" s="899">
        <f t="shared" si="109"/>
        <v>0</v>
      </c>
      <c r="Z65" s="899">
        <f t="shared" si="109"/>
        <v>0</v>
      </c>
      <c r="AA65" s="886">
        <f t="shared" si="101"/>
        <v>0</v>
      </c>
      <c r="AB65" s="884"/>
      <c r="AC65" s="899"/>
      <c r="AD65" s="918"/>
      <c r="AE65" s="918"/>
      <c r="AF65" s="886">
        <f t="shared" si="102"/>
        <v>0</v>
      </c>
      <c r="AG65" s="884"/>
      <c r="AH65" s="918"/>
      <c r="AI65" s="919"/>
      <c r="AJ65" s="884"/>
      <c r="AK65" s="918"/>
      <c r="AL65" s="919"/>
      <c r="AM65" s="884"/>
      <c r="AN65" s="918"/>
      <c r="AO65" s="919"/>
      <c r="AP65" s="884"/>
      <c r="AQ65" s="918"/>
      <c r="AR65" s="919"/>
      <c r="AS65" s="903"/>
      <c r="AT65" s="874"/>
      <c r="AU65" s="884"/>
      <c r="AV65" s="899"/>
      <c r="AW65" s="899">
        <f t="shared" si="110"/>
        <v>0</v>
      </c>
      <c r="AX65" s="899">
        <f t="shared" si="110"/>
        <v>0</v>
      </c>
      <c r="AY65" s="891"/>
      <c r="AZ65" s="904"/>
      <c r="BA65" s="904">
        <f t="shared" si="103"/>
        <v>0</v>
      </c>
      <c r="BB65" s="904">
        <f t="shared" si="103"/>
        <v>0</v>
      </c>
      <c r="BC65" s="884"/>
      <c r="BD65" s="899"/>
      <c r="BE65" s="899">
        <f t="shared" si="111"/>
        <v>0</v>
      </c>
      <c r="BF65" s="899">
        <f t="shared" si="111"/>
        <v>0</v>
      </c>
      <c r="BG65" s="891">
        <f t="shared" si="104"/>
        <v>0</v>
      </c>
      <c r="BH65" s="904">
        <f t="shared" si="105"/>
        <v>0</v>
      </c>
      <c r="BI65" s="906">
        <f t="shared" si="106"/>
        <v>0</v>
      </c>
      <c r="BJ65" s="905"/>
      <c r="BK65" s="874"/>
      <c r="BL65" s="884"/>
      <c r="BM65" s="899"/>
      <c r="BN65" s="899">
        <f t="shared" si="112"/>
        <v>0</v>
      </c>
      <c r="BO65" s="899">
        <f t="shared" si="112"/>
        <v>0</v>
      </c>
      <c r="BP65" s="884"/>
      <c r="BQ65" s="899"/>
      <c r="BR65" s="904">
        <f t="shared" si="107"/>
        <v>0</v>
      </c>
      <c r="BS65" s="906">
        <f t="shared" si="107"/>
        <v>0</v>
      </c>
      <c r="BT65" s="874"/>
      <c r="BU65" s="884"/>
      <c r="BV65" s="899"/>
      <c r="BW65" s="899">
        <f t="shared" si="113"/>
        <v>0</v>
      </c>
      <c r="BX65" s="899">
        <f t="shared" si="113"/>
        <v>0</v>
      </c>
      <c r="BY65" s="891"/>
      <c r="BZ65" s="904"/>
      <c r="CA65" s="904">
        <f t="shared" si="108"/>
        <v>0</v>
      </c>
      <c r="CB65" s="906">
        <f t="shared" si="108"/>
        <v>0</v>
      </c>
      <c r="CC65" s="874"/>
      <c r="CD65" s="874"/>
      <c r="CE65" s="874"/>
      <c r="CF65" s="874"/>
      <c r="CG65" s="874"/>
      <c r="CH65" s="874"/>
      <c r="CI65" s="874"/>
      <c r="CJ65" s="874"/>
      <c r="CK65" s="874"/>
      <c r="CL65" s="874"/>
      <c r="CM65" s="874"/>
      <c r="CN65" s="874"/>
      <c r="CO65" s="874"/>
      <c r="CP65" s="874"/>
      <c r="CQ65" s="874"/>
      <c r="CR65" s="874"/>
      <c r="CS65" s="874"/>
      <c r="CT65" s="874"/>
      <c r="CU65" s="874"/>
      <c r="CV65" s="874"/>
      <c r="CW65" s="874"/>
      <c r="CX65" s="874"/>
      <c r="CY65" s="874"/>
      <c r="CZ65" s="874"/>
      <c r="DA65" s="874"/>
      <c r="DB65" s="874"/>
      <c r="DC65" s="874"/>
      <c r="DD65" s="874"/>
      <c r="DE65" s="874"/>
      <c r="DF65" s="874"/>
      <c r="DG65" s="874"/>
      <c r="DH65" s="874"/>
      <c r="DI65" s="874"/>
      <c r="DJ65" s="874"/>
      <c r="DK65" s="874"/>
      <c r="DL65" s="874"/>
      <c r="DM65" s="874"/>
      <c r="DN65" s="874"/>
      <c r="DO65" s="874"/>
      <c r="DP65" s="874"/>
      <c r="DQ65" s="874"/>
      <c r="DR65" s="874"/>
      <c r="DS65" s="874"/>
      <c r="DT65" s="874"/>
      <c r="DU65" s="874"/>
      <c r="DV65" s="874"/>
      <c r="DW65" s="874"/>
      <c r="DX65" s="874"/>
      <c r="DY65" s="874"/>
      <c r="DZ65" s="874"/>
      <c r="EA65" s="874"/>
    </row>
    <row r="66" spans="1:131" ht="20.25" hidden="1" outlineLevel="1">
      <c r="A66" s="896" t="s">
        <v>703</v>
      </c>
      <c r="B66" s="884"/>
      <c r="C66" s="899"/>
      <c r="D66" s="917">
        <v>0</v>
      </c>
      <c r="E66" s="917">
        <v>0</v>
      </c>
      <c r="F66" s="886">
        <f t="shared" si="98"/>
        <v>0</v>
      </c>
      <c r="G66" s="884"/>
      <c r="H66" s="899"/>
      <c r="I66" s="917">
        <v>0</v>
      </c>
      <c r="J66" s="917">
        <v>0</v>
      </c>
      <c r="K66" s="886">
        <f t="shared" si="99"/>
        <v>0</v>
      </c>
      <c r="L66" s="884"/>
      <c r="M66" s="899"/>
      <c r="N66" s="917">
        <v>0</v>
      </c>
      <c r="O66" s="917">
        <v>0</v>
      </c>
      <c r="P66" s="887">
        <f t="shared" si="100"/>
        <v>0</v>
      </c>
      <c r="Q66" s="884"/>
      <c r="R66" s="918"/>
      <c r="S66" s="919"/>
      <c r="T66" s="884"/>
      <c r="U66" s="918"/>
      <c r="V66" s="919"/>
      <c r="W66" s="884"/>
      <c r="X66" s="899"/>
      <c r="Y66" s="899">
        <f t="shared" si="109"/>
        <v>0</v>
      </c>
      <c r="Z66" s="899">
        <f t="shared" si="109"/>
        <v>0</v>
      </c>
      <c r="AA66" s="886">
        <f t="shared" si="101"/>
        <v>0</v>
      </c>
      <c r="AB66" s="884"/>
      <c r="AC66" s="899"/>
      <c r="AD66" s="918"/>
      <c r="AE66" s="918"/>
      <c r="AF66" s="886">
        <f t="shared" si="102"/>
        <v>0</v>
      </c>
      <c r="AG66" s="884"/>
      <c r="AH66" s="918"/>
      <c r="AI66" s="919"/>
      <c r="AJ66" s="884"/>
      <c r="AK66" s="918"/>
      <c r="AL66" s="919"/>
      <c r="AM66" s="884"/>
      <c r="AN66" s="918"/>
      <c r="AO66" s="919"/>
      <c r="AP66" s="884"/>
      <c r="AQ66" s="918"/>
      <c r="AR66" s="919"/>
      <c r="AS66" s="903"/>
      <c r="AT66" s="874"/>
      <c r="AU66" s="884"/>
      <c r="AV66" s="899"/>
      <c r="AW66" s="899">
        <f t="shared" si="110"/>
        <v>0</v>
      </c>
      <c r="AX66" s="899">
        <f t="shared" si="110"/>
        <v>0</v>
      </c>
      <c r="AY66" s="891"/>
      <c r="AZ66" s="904"/>
      <c r="BA66" s="904">
        <f t="shared" si="103"/>
        <v>0</v>
      </c>
      <c r="BB66" s="904">
        <f t="shared" si="103"/>
        <v>0</v>
      </c>
      <c r="BC66" s="884"/>
      <c r="BD66" s="899"/>
      <c r="BE66" s="899">
        <f t="shared" si="111"/>
        <v>0</v>
      </c>
      <c r="BF66" s="899">
        <f t="shared" si="111"/>
        <v>0</v>
      </c>
      <c r="BG66" s="891">
        <f t="shared" si="104"/>
        <v>0</v>
      </c>
      <c r="BH66" s="904">
        <f t="shared" si="105"/>
        <v>0</v>
      </c>
      <c r="BI66" s="906">
        <f t="shared" si="106"/>
        <v>0</v>
      </c>
      <c r="BJ66" s="905"/>
      <c r="BK66" s="874"/>
      <c r="BL66" s="884"/>
      <c r="BM66" s="899"/>
      <c r="BN66" s="899">
        <f t="shared" si="112"/>
        <v>0</v>
      </c>
      <c r="BO66" s="899">
        <f t="shared" si="112"/>
        <v>0</v>
      </c>
      <c r="BP66" s="884"/>
      <c r="BQ66" s="899"/>
      <c r="BR66" s="904">
        <f t="shared" si="107"/>
        <v>0</v>
      </c>
      <c r="BS66" s="906">
        <f t="shared" si="107"/>
        <v>0</v>
      </c>
      <c r="BT66" s="874"/>
      <c r="BU66" s="884"/>
      <c r="BV66" s="899"/>
      <c r="BW66" s="899">
        <f t="shared" si="113"/>
        <v>0</v>
      </c>
      <c r="BX66" s="899">
        <f t="shared" si="113"/>
        <v>0</v>
      </c>
      <c r="BY66" s="891"/>
      <c r="BZ66" s="904"/>
      <c r="CA66" s="904">
        <f t="shared" si="108"/>
        <v>0</v>
      </c>
      <c r="CB66" s="906">
        <f t="shared" si="108"/>
        <v>0</v>
      </c>
      <c r="CC66" s="874"/>
      <c r="CD66" s="874"/>
      <c r="CE66" s="874"/>
      <c r="CF66" s="874"/>
      <c r="CG66" s="874"/>
      <c r="CH66" s="874"/>
      <c r="CI66" s="874"/>
      <c r="CJ66" s="874"/>
      <c r="CK66" s="874"/>
      <c r="CL66" s="874"/>
      <c r="CM66" s="874"/>
      <c r="CN66" s="874"/>
      <c r="CO66" s="874"/>
      <c r="CP66" s="874"/>
      <c r="CQ66" s="874"/>
      <c r="CR66" s="874"/>
      <c r="CS66" s="874"/>
      <c r="CT66" s="874"/>
      <c r="CU66" s="874"/>
      <c r="CV66" s="874"/>
      <c r="CW66" s="874"/>
      <c r="CX66" s="874"/>
      <c r="CY66" s="874"/>
      <c r="CZ66" s="874"/>
      <c r="DA66" s="874"/>
      <c r="DB66" s="874"/>
      <c r="DC66" s="874"/>
      <c r="DD66" s="874"/>
      <c r="DE66" s="874"/>
      <c r="DF66" s="874"/>
      <c r="DG66" s="874"/>
      <c r="DH66" s="874"/>
      <c r="DI66" s="874"/>
      <c r="DJ66" s="874"/>
      <c r="DK66" s="874"/>
      <c r="DL66" s="874"/>
      <c r="DM66" s="874"/>
      <c r="DN66" s="874"/>
      <c r="DO66" s="874"/>
      <c r="DP66" s="874"/>
      <c r="DQ66" s="874"/>
      <c r="DR66" s="874"/>
      <c r="DS66" s="874"/>
      <c r="DT66" s="874"/>
      <c r="DU66" s="874"/>
      <c r="DV66" s="874"/>
      <c r="DW66" s="874"/>
      <c r="DX66" s="874"/>
      <c r="DY66" s="874"/>
      <c r="DZ66" s="874"/>
      <c r="EA66" s="874"/>
    </row>
    <row r="67" spans="1:131" ht="20.25" hidden="1" outlineLevel="1">
      <c r="A67" s="896" t="s">
        <v>704</v>
      </c>
      <c r="B67" s="884"/>
      <c r="C67" s="899"/>
      <c r="D67" s="917">
        <v>0</v>
      </c>
      <c r="E67" s="917">
        <v>0</v>
      </c>
      <c r="F67" s="886">
        <f t="shared" si="98"/>
        <v>0</v>
      </c>
      <c r="G67" s="884"/>
      <c r="H67" s="899"/>
      <c r="I67" s="917">
        <v>0</v>
      </c>
      <c r="J67" s="917">
        <v>0</v>
      </c>
      <c r="K67" s="886">
        <f t="shared" si="99"/>
        <v>0</v>
      </c>
      <c r="L67" s="884"/>
      <c r="M67" s="899"/>
      <c r="N67" s="917">
        <v>0</v>
      </c>
      <c r="O67" s="917">
        <v>0</v>
      </c>
      <c r="P67" s="887">
        <f t="shared" si="100"/>
        <v>0</v>
      </c>
      <c r="Q67" s="884"/>
      <c r="R67" s="918"/>
      <c r="S67" s="919"/>
      <c r="T67" s="884"/>
      <c r="U67" s="918"/>
      <c r="V67" s="919"/>
      <c r="W67" s="884"/>
      <c r="X67" s="899"/>
      <c r="Y67" s="899">
        <f t="shared" si="109"/>
        <v>0</v>
      </c>
      <c r="Z67" s="899">
        <f t="shared" si="109"/>
        <v>0</v>
      </c>
      <c r="AA67" s="886">
        <f t="shared" si="101"/>
        <v>0</v>
      </c>
      <c r="AB67" s="884"/>
      <c r="AC67" s="899"/>
      <c r="AD67" s="918"/>
      <c r="AE67" s="918"/>
      <c r="AF67" s="886">
        <f t="shared" si="102"/>
        <v>0</v>
      </c>
      <c r="AG67" s="884"/>
      <c r="AH67" s="918"/>
      <c r="AI67" s="919"/>
      <c r="AJ67" s="884"/>
      <c r="AK67" s="918"/>
      <c r="AL67" s="919"/>
      <c r="AM67" s="884"/>
      <c r="AN67" s="918"/>
      <c r="AO67" s="919"/>
      <c r="AP67" s="884"/>
      <c r="AQ67" s="918"/>
      <c r="AR67" s="919"/>
      <c r="AS67" s="903"/>
      <c r="AT67" s="874"/>
      <c r="AU67" s="884"/>
      <c r="AV67" s="899"/>
      <c r="AW67" s="899">
        <f t="shared" si="110"/>
        <v>0</v>
      </c>
      <c r="AX67" s="899">
        <f t="shared" si="110"/>
        <v>0</v>
      </c>
      <c r="AY67" s="891"/>
      <c r="AZ67" s="904"/>
      <c r="BA67" s="904">
        <f t="shared" si="103"/>
        <v>0</v>
      </c>
      <c r="BB67" s="904">
        <f t="shared" si="103"/>
        <v>0</v>
      </c>
      <c r="BC67" s="884"/>
      <c r="BD67" s="899"/>
      <c r="BE67" s="899">
        <f t="shared" si="111"/>
        <v>0</v>
      </c>
      <c r="BF67" s="899">
        <f t="shared" si="111"/>
        <v>0</v>
      </c>
      <c r="BG67" s="891">
        <f t="shared" si="104"/>
        <v>0</v>
      </c>
      <c r="BH67" s="904">
        <f t="shared" si="105"/>
        <v>0</v>
      </c>
      <c r="BI67" s="906">
        <f t="shared" si="106"/>
        <v>0</v>
      </c>
      <c r="BJ67" s="905"/>
      <c r="BK67" s="874"/>
      <c r="BL67" s="884"/>
      <c r="BM67" s="899"/>
      <c r="BN67" s="899">
        <f t="shared" si="112"/>
        <v>0</v>
      </c>
      <c r="BO67" s="899">
        <f t="shared" si="112"/>
        <v>0</v>
      </c>
      <c r="BP67" s="884"/>
      <c r="BQ67" s="899"/>
      <c r="BR67" s="904">
        <f t="shared" si="107"/>
        <v>0</v>
      </c>
      <c r="BS67" s="906">
        <f t="shared" si="107"/>
        <v>0</v>
      </c>
      <c r="BT67" s="874"/>
      <c r="BU67" s="884"/>
      <c r="BV67" s="899"/>
      <c r="BW67" s="899">
        <f t="shared" si="113"/>
        <v>0</v>
      </c>
      <c r="BX67" s="899">
        <f t="shared" si="113"/>
        <v>0</v>
      </c>
      <c r="BY67" s="891"/>
      <c r="BZ67" s="904"/>
      <c r="CA67" s="904">
        <f t="shared" si="108"/>
        <v>0</v>
      </c>
      <c r="CB67" s="906">
        <f t="shared" si="108"/>
        <v>0</v>
      </c>
      <c r="CC67" s="874"/>
      <c r="CD67" s="874"/>
      <c r="CE67" s="874"/>
      <c r="CF67" s="874"/>
      <c r="CG67" s="874"/>
      <c r="CH67" s="874"/>
      <c r="CI67" s="874"/>
      <c r="CJ67" s="874"/>
      <c r="CK67" s="874"/>
      <c r="CL67" s="874"/>
      <c r="CM67" s="874"/>
      <c r="CN67" s="874"/>
      <c r="CO67" s="874"/>
      <c r="CP67" s="874"/>
      <c r="CQ67" s="874"/>
      <c r="CR67" s="874"/>
      <c r="CS67" s="874"/>
      <c r="CT67" s="874"/>
      <c r="CU67" s="874"/>
      <c r="CV67" s="874"/>
      <c r="CW67" s="874"/>
      <c r="CX67" s="874"/>
      <c r="CY67" s="874"/>
      <c r="CZ67" s="874"/>
      <c r="DA67" s="874"/>
      <c r="DB67" s="874"/>
      <c r="DC67" s="874"/>
      <c r="DD67" s="874"/>
      <c r="DE67" s="874"/>
      <c r="DF67" s="874"/>
      <c r="DG67" s="874"/>
      <c r="DH67" s="874"/>
      <c r="DI67" s="874"/>
      <c r="DJ67" s="874"/>
      <c r="DK67" s="874"/>
      <c r="DL67" s="874"/>
      <c r="DM67" s="874"/>
      <c r="DN67" s="874"/>
      <c r="DO67" s="874"/>
      <c r="DP67" s="874"/>
      <c r="DQ67" s="874"/>
      <c r="DR67" s="874"/>
      <c r="DS67" s="874"/>
      <c r="DT67" s="874"/>
      <c r="DU67" s="874"/>
      <c r="DV67" s="874"/>
      <c r="DW67" s="874"/>
      <c r="DX67" s="874"/>
      <c r="DY67" s="874"/>
      <c r="DZ67" s="874"/>
      <c r="EA67" s="874"/>
    </row>
    <row r="68" spans="1:131" ht="20.25" hidden="1" outlineLevel="1">
      <c r="A68" s="897" t="s">
        <v>705</v>
      </c>
      <c r="B68" s="884"/>
      <c r="C68" s="899"/>
      <c r="D68" s="917">
        <v>0</v>
      </c>
      <c r="E68" s="917">
        <v>0</v>
      </c>
      <c r="F68" s="886">
        <f t="shared" si="98"/>
        <v>0</v>
      </c>
      <c r="G68" s="884"/>
      <c r="H68" s="899"/>
      <c r="I68" s="917">
        <v>0</v>
      </c>
      <c r="J68" s="917">
        <v>0</v>
      </c>
      <c r="K68" s="886">
        <f t="shared" si="99"/>
        <v>0</v>
      </c>
      <c r="L68" s="884"/>
      <c r="M68" s="899"/>
      <c r="N68" s="917">
        <v>0</v>
      </c>
      <c r="O68" s="917">
        <v>0</v>
      </c>
      <c r="P68" s="887">
        <f t="shared" si="100"/>
        <v>0</v>
      </c>
      <c r="Q68" s="884"/>
      <c r="R68" s="918"/>
      <c r="S68" s="919"/>
      <c r="T68" s="884"/>
      <c r="U68" s="918"/>
      <c r="V68" s="919"/>
      <c r="W68" s="884"/>
      <c r="X68" s="899"/>
      <c r="Y68" s="899">
        <f t="shared" si="109"/>
        <v>0</v>
      </c>
      <c r="Z68" s="899">
        <f t="shared" si="109"/>
        <v>0</v>
      </c>
      <c r="AA68" s="886">
        <f t="shared" si="101"/>
        <v>0</v>
      </c>
      <c r="AB68" s="884"/>
      <c r="AC68" s="899"/>
      <c r="AD68" s="918"/>
      <c r="AE68" s="918"/>
      <c r="AF68" s="886">
        <f t="shared" si="102"/>
        <v>0</v>
      </c>
      <c r="AG68" s="884"/>
      <c r="AH68" s="918"/>
      <c r="AI68" s="919"/>
      <c r="AJ68" s="884"/>
      <c r="AK68" s="918"/>
      <c r="AL68" s="919"/>
      <c r="AM68" s="884"/>
      <c r="AN68" s="918"/>
      <c r="AO68" s="919"/>
      <c r="AP68" s="884"/>
      <c r="AQ68" s="918"/>
      <c r="AR68" s="919"/>
      <c r="AS68" s="903"/>
      <c r="AT68" s="874"/>
      <c r="AU68" s="884"/>
      <c r="AV68" s="899"/>
      <c r="AW68" s="899">
        <f t="shared" si="110"/>
        <v>0</v>
      </c>
      <c r="AX68" s="899">
        <f t="shared" si="110"/>
        <v>0</v>
      </c>
      <c r="AY68" s="891"/>
      <c r="AZ68" s="904"/>
      <c r="BA68" s="904">
        <f t="shared" si="103"/>
        <v>0</v>
      </c>
      <c r="BB68" s="904">
        <f t="shared" si="103"/>
        <v>0</v>
      </c>
      <c r="BC68" s="884"/>
      <c r="BD68" s="899"/>
      <c r="BE68" s="899">
        <f t="shared" si="111"/>
        <v>0</v>
      </c>
      <c r="BF68" s="899">
        <f t="shared" si="111"/>
        <v>0</v>
      </c>
      <c r="BG68" s="891">
        <f t="shared" si="104"/>
        <v>0</v>
      </c>
      <c r="BH68" s="904">
        <f t="shared" si="105"/>
        <v>0</v>
      </c>
      <c r="BI68" s="906">
        <f t="shared" si="106"/>
        <v>0</v>
      </c>
      <c r="BJ68" s="905"/>
      <c r="BK68" s="874"/>
      <c r="BL68" s="884"/>
      <c r="BM68" s="899"/>
      <c r="BN68" s="899">
        <f t="shared" si="112"/>
        <v>0</v>
      </c>
      <c r="BO68" s="899">
        <f t="shared" si="112"/>
        <v>0</v>
      </c>
      <c r="BP68" s="884"/>
      <c r="BQ68" s="899"/>
      <c r="BR68" s="904">
        <f t="shared" si="107"/>
        <v>0</v>
      </c>
      <c r="BS68" s="906">
        <f t="shared" si="107"/>
        <v>0</v>
      </c>
      <c r="BT68" s="874"/>
      <c r="BU68" s="884"/>
      <c r="BV68" s="899"/>
      <c r="BW68" s="899">
        <f t="shared" si="113"/>
        <v>0</v>
      </c>
      <c r="BX68" s="899">
        <f t="shared" si="113"/>
        <v>0</v>
      </c>
      <c r="BY68" s="891"/>
      <c r="BZ68" s="904"/>
      <c r="CA68" s="904">
        <f t="shared" si="108"/>
        <v>0</v>
      </c>
      <c r="CB68" s="906">
        <f t="shared" si="108"/>
        <v>0</v>
      </c>
      <c r="CC68" s="874"/>
      <c r="CD68" s="874"/>
      <c r="CE68" s="874"/>
      <c r="CF68" s="874"/>
      <c r="CG68" s="874"/>
      <c r="CH68" s="874"/>
      <c r="CI68" s="874"/>
      <c r="CJ68" s="874"/>
      <c r="CK68" s="874"/>
      <c r="CL68" s="874"/>
      <c r="CM68" s="874"/>
      <c r="CN68" s="874"/>
      <c r="CO68" s="874"/>
      <c r="CP68" s="874"/>
      <c r="CQ68" s="874"/>
      <c r="CR68" s="874"/>
      <c r="CS68" s="874"/>
      <c r="CT68" s="874"/>
      <c r="CU68" s="874"/>
      <c r="CV68" s="874"/>
      <c r="CW68" s="874"/>
      <c r="CX68" s="874"/>
      <c r="CY68" s="874"/>
      <c r="CZ68" s="874"/>
      <c r="DA68" s="874"/>
      <c r="DB68" s="874"/>
      <c r="DC68" s="874"/>
      <c r="DD68" s="874"/>
      <c r="DE68" s="874"/>
      <c r="DF68" s="874"/>
      <c r="DG68" s="874"/>
      <c r="DH68" s="874"/>
      <c r="DI68" s="874"/>
      <c r="DJ68" s="874"/>
      <c r="DK68" s="874"/>
      <c r="DL68" s="874"/>
      <c r="DM68" s="874"/>
      <c r="DN68" s="874"/>
      <c r="DO68" s="874"/>
      <c r="DP68" s="874"/>
      <c r="DQ68" s="874"/>
      <c r="DR68" s="874"/>
      <c r="DS68" s="874"/>
      <c r="DT68" s="874"/>
      <c r="DU68" s="874"/>
      <c r="DV68" s="874"/>
      <c r="DW68" s="874"/>
      <c r="DX68" s="874"/>
      <c r="DY68" s="874"/>
      <c r="DZ68" s="874"/>
      <c r="EA68" s="874"/>
    </row>
    <row r="69" spans="1:131" ht="20.25" hidden="1" outlineLevel="1">
      <c r="A69" s="896" t="s">
        <v>706</v>
      </c>
      <c r="B69" s="884"/>
      <c r="C69" s="917">
        <v>0</v>
      </c>
      <c r="D69" s="899"/>
      <c r="E69" s="899"/>
      <c r="F69" s="902"/>
      <c r="G69" s="884"/>
      <c r="H69" s="917">
        <v>0</v>
      </c>
      <c r="I69" s="899"/>
      <c r="J69" s="899"/>
      <c r="K69" s="902"/>
      <c r="L69" s="884"/>
      <c r="M69" s="917">
        <v>0</v>
      </c>
      <c r="N69" s="899"/>
      <c r="O69" s="899"/>
      <c r="P69" s="907"/>
      <c r="Q69" s="920"/>
      <c r="R69" s="899"/>
      <c r="S69" s="902"/>
      <c r="T69" s="920"/>
      <c r="U69" s="899"/>
      <c r="V69" s="902"/>
      <c r="W69" s="884"/>
      <c r="X69" s="899">
        <f>M69+Q69-T69</f>
        <v>0</v>
      </c>
      <c r="Y69" s="899"/>
      <c r="Z69" s="899"/>
      <c r="AA69" s="902"/>
      <c r="AB69" s="884"/>
      <c r="AC69" s="918"/>
      <c r="AD69" s="899"/>
      <c r="AE69" s="899"/>
      <c r="AF69" s="902"/>
      <c r="AG69" s="920"/>
      <c r="AH69" s="899"/>
      <c r="AI69" s="902"/>
      <c r="AJ69" s="920"/>
      <c r="AK69" s="899"/>
      <c r="AL69" s="902"/>
      <c r="AM69" s="920"/>
      <c r="AN69" s="899"/>
      <c r="AO69" s="902"/>
      <c r="AP69" s="920"/>
      <c r="AQ69" s="899"/>
      <c r="AR69" s="902"/>
      <c r="AS69" s="903"/>
      <c r="AT69" s="874"/>
      <c r="AU69" s="884"/>
      <c r="AV69" s="899">
        <f>AC69-M69</f>
        <v>0</v>
      </c>
      <c r="AW69" s="899"/>
      <c r="AX69" s="899"/>
      <c r="AY69" s="891"/>
      <c r="AZ69" s="904">
        <f>IF(M69=0,0,AC69/M69*100)</f>
        <v>0</v>
      </c>
      <c r="BA69" s="904"/>
      <c r="BB69" s="904"/>
      <c r="BC69" s="884"/>
      <c r="BD69" s="899">
        <f>AC69-M69-AG69-AJ69-AM69-AP69</f>
        <v>0</v>
      </c>
      <c r="BE69" s="899"/>
      <c r="BF69" s="899"/>
      <c r="BG69" s="884"/>
      <c r="BH69" s="899"/>
      <c r="BI69" s="902"/>
      <c r="BJ69" s="905"/>
      <c r="BK69" s="874"/>
      <c r="BL69" s="884"/>
      <c r="BM69" s="899">
        <f>AC69-X69</f>
        <v>0</v>
      </c>
      <c r="BN69" s="899"/>
      <c r="BO69" s="899"/>
      <c r="BP69" s="884"/>
      <c r="BQ69" s="904">
        <f>IF(X69=0,0,AC69/X69*100)</f>
        <v>0</v>
      </c>
      <c r="BR69" s="899"/>
      <c r="BS69" s="902"/>
      <c r="BT69" s="874"/>
      <c r="BU69" s="884"/>
      <c r="BV69" s="899">
        <f>AC69-C69</f>
        <v>0</v>
      </c>
      <c r="BW69" s="899"/>
      <c r="BX69" s="899"/>
      <c r="BY69" s="891"/>
      <c r="BZ69" s="904">
        <f>IF(C69=0,0,AC69/C69*100)</f>
        <v>0</v>
      </c>
      <c r="CA69" s="904"/>
      <c r="CB69" s="906"/>
      <c r="CC69" s="874"/>
      <c r="CD69" s="874"/>
      <c r="CE69" s="874"/>
      <c r="CF69" s="874"/>
      <c r="CG69" s="874"/>
      <c r="CH69" s="874"/>
      <c r="CI69" s="874"/>
      <c r="CJ69" s="874"/>
      <c r="CK69" s="874"/>
      <c r="CL69" s="874"/>
      <c r="CM69" s="874"/>
      <c r="CN69" s="874"/>
      <c r="CO69" s="874"/>
      <c r="CP69" s="874"/>
      <c r="CQ69" s="874"/>
      <c r="CR69" s="874"/>
      <c r="CS69" s="874"/>
      <c r="CT69" s="874"/>
      <c r="CU69" s="874"/>
      <c r="CV69" s="874"/>
      <c r="CW69" s="874"/>
      <c r="CX69" s="874"/>
      <c r="CY69" s="874"/>
      <c r="CZ69" s="874"/>
      <c r="DA69" s="874"/>
      <c r="DB69" s="874"/>
      <c r="DC69" s="874"/>
      <c r="DD69" s="874"/>
      <c r="DE69" s="874"/>
      <c r="DF69" s="874"/>
      <c r="DG69" s="874"/>
      <c r="DH69" s="874"/>
      <c r="DI69" s="874"/>
      <c r="DJ69" s="874"/>
      <c r="DK69" s="874"/>
      <c r="DL69" s="874"/>
      <c r="DM69" s="874"/>
      <c r="DN69" s="874"/>
      <c r="DO69" s="874"/>
      <c r="DP69" s="874"/>
      <c r="DQ69" s="874"/>
      <c r="DR69" s="874"/>
      <c r="DS69" s="874"/>
      <c r="DT69" s="874"/>
      <c r="DU69" s="874"/>
      <c r="DV69" s="874"/>
      <c r="DW69" s="874"/>
      <c r="DX69" s="874"/>
      <c r="DY69" s="874"/>
      <c r="DZ69" s="874"/>
      <c r="EA69" s="874"/>
    </row>
    <row r="70" spans="1:131" ht="18" hidden="1" customHeight="1" outlineLevel="1">
      <c r="A70" s="921" t="s">
        <v>712</v>
      </c>
      <c r="B70" s="884">
        <f>C70+D70</f>
        <v>0</v>
      </c>
      <c r="C70" s="917">
        <v>0</v>
      </c>
      <c r="D70" s="899">
        <f>SUM(D71:D72,D75:D76)</f>
        <v>0</v>
      </c>
      <c r="E70" s="899">
        <f>SUM(E71:E72,E75:E76)</f>
        <v>0</v>
      </c>
      <c r="F70" s="886">
        <f t="shared" ref="F70:F76" si="114">IF(E70=0,0,ROUND(D70/E70/12,0))</f>
        <v>0</v>
      </c>
      <c r="G70" s="884">
        <f>H70+I70</f>
        <v>0</v>
      </c>
      <c r="H70" s="917">
        <v>0</v>
      </c>
      <c r="I70" s="899">
        <f>SUM(I71:I72,I75:I76)</f>
        <v>0</v>
      </c>
      <c r="J70" s="899">
        <f>SUM(J71:J72,J75:J76)</f>
        <v>0</v>
      </c>
      <c r="K70" s="886">
        <f t="shared" ref="K70:K76" si="115">IF(J70=0,0,ROUND(I70/J70/12,0))</f>
        <v>0</v>
      </c>
      <c r="L70" s="884">
        <f>M70+N70</f>
        <v>0</v>
      </c>
      <c r="M70" s="917">
        <v>0</v>
      </c>
      <c r="N70" s="899">
        <f>SUM(N71:N72,N75:N76)</f>
        <v>0</v>
      </c>
      <c r="O70" s="899">
        <f>SUM(O71:O72,O75:O76)</f>
        <v>0</v>
      </c>
      <c r="P70" s="887">
        <f t="shared" ref="P70:P76" si="116">IF(O70=0,0,ROUND(N70/O70/12,0))</f>
        <v>0</v>
      </c>
      <c r="Q70" s="920"/>
      <c r="R70" s="899">
        <f>SUM(R71:R72,R75:R76)</f>
        <v>0</v>
      </c>
      <c r="S70" s="902">
        <f>SUM(S71:S72,S75:S76)</f>
        <v>0</v>
      </c>
      <c r="T70" s="920"/>
      <c r="U70" s="899">
        <f>SUM(U71:U72,U75:U76)</f>
        <v>0</v>
      </c>
      <c r="V70" s="902">
        <f>SUM(V71:V72,V75:V76)</f>
        <v>0</v>
      </c>
      <c r="W70" s="884">
        <f>X70+Y70</f>
        <v>0</v>
      </c>
      <c r="X70" s="899">
        <f>M70+Q70-T70</f>
        <v>0</v>
      </c>
      <c r="Y70" s="899">
        <f>SUM(Y71:Y72,Y75:Y76)</f>
        <v>0</v>
      </c>
      <c r="Z70" s="899">
        <f>SUM(Z71:Z72,Z75:Z76)</f>
        <v>0</v>
      </c>
      <c r="AA70" s="886">
        <f t="shared" ref="AA70:AA76" si="117">IF(Z70=0,0,ROUND(Y70/Z70/12,0))</f>
        <v>0</v>
      </c>
      <c r="AB70" s="884">
        <f>AC70+AD70</f>
        <v>0</v>
      </c>
      <c r="AC70" s="918"/>
      <c r="AD70" s="899">
        <f>SUM(AD71:AD72,AD75:AD76)</f>
        <v>0</v>
      </c>
      <c r="AE70" s="899">
        <f>SUM(AE71:AE72,AE75:AE76)</f>
        <v>0</v>
      </c>
      <c r="AF70" s="886">
        <f t="shared" ref="AF70:AF76" si="118">IF(AE70=0,0,ROUND(AD70/AE70/12,0))</f>
        <v>0</v>
      </c>
      <c r="AG70" s="920"/>
      <c r="AH70" s="899">
        <f>SUM(AH71:AH72,AH75:AH76)</f>
        <v>0</v>
      </c>
      <c r="AI70" s="902">
        <f>SUM(AI71:AI72,AI75:AI76)</f>
        <v>0</v>
      </c>
      <c r="AJ70" s="920"/>
      <c r="AK70" s="899">
        <f>SUM(AK71:AK72,AK75:AK76)</f>
        <v>0</v>
      </c>
      <c r="AL70" s="902">
        <f>SUM(AL71:AL72,AL75:AL76)</f>
        <v>0</v>
      </c>
      <c r="AM70" s="920"/>
      <c r="AN70" s="899">
        <f>SUM(AN71:AN72,AN75:AN76)</f>
        <v>0</v>
      </c>
      <c r="AO70" s="902">
        <f>SUM(AO71:AO72,AO75:AO76)</f>
        <v>0</v>
      </c>
      <c r="AP70" s="920"/>
      <c r="AQ70" s="899">
        <f>SUM(AQ71:AQ72,AQ75:AQ76)</f>
        <v>0</v>
      </c>
      <c r="AR70" s="902">
        <f>SUM(AR71:AR72,AR75:AR76)</f>
        <v>0</v>
      </c>
      <c r="AS70" s="903"/>
      <c r="AT70" s="874"/>
      <c r="AU70" s="884">
        <f>AV70+AW70</f>
        <v>0</v>
      </c>
      <c r="AV70" s="899">
        <f>AC70-M70</f>
        <v>0</v>
      </c>
      <c r="AW70" s="899">
        <f>SUM(AW71:AW72,AW75:AW76)</f>
        <v>0</v>
      </c>
      <c r="AX70" s="899">
        <f>SUM(AX71:AX72,AX75:AX76)</f>
        <v>0</v>
      </c>
      <c r="AY70" s="891">
        <f>IF(L70=0,0,AB70/L70*100)</f>
        <v>0</v>
      </c>
      <c r="AZ70" s="904">
        <f>IF(M70=0,0,AC70/M70*100)</f>
        <v>0</v>
      </c>
      <c r="BA70" s="904">
        <f t="shared" ref="BA70:BB76" si="119">IF(N70=0,0,AD70/N70*100)</f>
        <v>0</v>
      </c>
      <c r="BB70" s="904">
        <f t="shared" si="119"/>
        <v>0</v>
      </c>
      <c r="BC70" s="884">
        <f>BD70+BE70</f>
        <v>0</v>
      </c>
      <c r="BD70" s="899">
        <f>AC70-M70-AG70-AJ70-AM70-AP70</f>
        <v>0</v>
      </c>
      <c r="BE70" s="899">
        <f>SUM(BE71:BE72,BE75:BE76)</f>
        <v>0</v>
      </c>
      <c r="BF70" s="899">
        <f>SUM(BF71:BF72,BF75:BF76)</f>
        <v>0</v>
      </c>
      <c r="BG70" s="891">
        <f t="shared" ref="BG70:BG76" si="120">IF(F70=0,0,AF70/F70*100)</f>
        <v>0</v>
      </c>
      <c r="BH70" s="904">
        <f t="shared" ref="BH70:BH76" si="121">IF(K70=0,0,AF70/K70*100)</f>
        <v>0</v>
      </c>
      <c r="BI70" s="906">
        <f t="shared" ref="BI70:BI76" si="122">IF(P70=0,0,AF70/P70*100)</f>
        <v>0</v>
      </c>
      <c r="BJ70" s="905"/>
      <c r="BK70" s="874"/>
      <c r="BL70" s="884">
        <f>BM70+BN70</f>
        <v>0</v>
      </c>
      <c r="BM70" s="899">
        <f>AC70-X70</f>
        <v>0</v>
      </c>
      <c r="BN70" s="899">
        <f>SUM(BN71:BN72,BN75:BN76)</f>
        <v>0</v>
      </c>
      <c r="BO70" s="899">
        <f>SUM(BO71:BO72,BO75:BO76)</f>
        <v>0</v>
      </c>
      <c r="BP70" s="891">
        <f>IF(W70=0,0,AB70/W70*100)</f>
        <v>0</v>
      </c>
      <c r="BQ70" s="904">
        <f>IF(X70=0,0,AC70/X70*100)</f>
        <v>0</v>
      </c>
      <c r="BR70" s="904">
        <f t="shared" ref="BR70:BS76" si="123">IF(Y70=0,0,AD70/Y70*100)</f>
        <v>0</v>
      </c>
      <c r="BS70" s="906">
        <f t="shared" si="123"/>
        <v>0</v>
      </c>
      <c r="BT70" s="874"/>
      <c r="BU70" s="884">
        <f>BV70+BW70</f>
        <v>0</v>
      </c>
      <c r="BV70" s="899">
        <f>AC70-C70</f>
        <v>0</v>
      </c>
      <c r="BW70" s="899">
        <f>SUM(BW71:BW72,BW75:BW76)</f>
        <v>0</v>
      </c>
      <c r="BX70" s="899">
        <f>SUM(BX71:BX72,BX75:BX76)</f>
        <v>0</v>
      </c>
      <c r="BY70" s="891">
        <f>IF(B70=0,0,AB70/B70*100)</f>
        <v>0</v>
      </c>
      <c r="BZ70" s="904">
        <f>IF(C70=0,0,AC70/C70*100)</f>
        <v>0</v>
      </c>
      <c r="CA70" s="904">
        <f t="shared" ref="CA70:CB76" si="124">IF(D70=0,0,AD70/D70*100)</f>
        <v>0</v>
      </c>
      <c r="CB70" s="906">
        <f t="shared" si="124"/>
        <v>0</v>
      </c>
      <c r="CC70" s="874"/>
      <c r="CD70" s="874"/>
      <c r="CE70" s="874"/>
      <c r="CF70" s="874"/>
      <c r="CG70" s="874"/>
      <c r="CH70" s="874"/>
      <c r="CI70" s="874"/>
      <c r="CJ70" s="874"/>
      <c r="CK70" s="874"/>
      <c r="CL70" s="874"/>
      <c r="CM70" s="874"/>
      <c r="CN70" s="874"/>
      <c r="CO70" s="874"/>
      <c r="CP70" s="874"/>
      <c r="CQ70" s="874"/>
      <c r="CR70" s="874"/>
      <c r="CS70" s="874"/>
      <c r="CT70" s="874"/>
      <c r="CU70" s="874"/>
      <c r="CV70" s="874"/>
      <c r="CW70" s="874"/>
      <c r="CX70" s="874"/>
      <c r="CY70" s="874"/>
      <c r="CZ70" s="874"/>
      <c r="DA70" s="874"/>
      <c r="DB70" s="874"/>
      <c r="DC70" s="874"/>
      <c r="DD70" s="874"/>
      <c r="DE70" s="874"/>
      <c r="DF70" s="874"/>
      <c r="DG70" s="874"/>
      <c r="DH70" s="874"/>
      <c r="DI70" s="874"/>
      <c r="DJ70" s="874"/>
      <c r="DK70" s="874"/>
      <c r="DL70" s="874"/>
      <c r="DM70" s="874"/>
      <c r="DN70" s="874"/>
      <c r="DO70" s="874"/>
      <c r="DP70" s="874"/>
      <c r="DQ70" s="874"/>
      <c r="DR70" s="874"/>
      <c r="DS70" s="874"/>
      <c r="DT70" s="874"/>
      <c r="DU70" s="874"/>
      <c r="DV70" s="874"/>
      <c r="DW70" s="874"/>
      <c r="DX70" s="874"/>
      <c r="DY70" s="874"/>
      <c r="DZ70" s="874"/>
      <c r="EA70" s="874"/>
    </row>
    <row r="71" spans="1:131" ht="20.25" hidden="1" outlineLevel="1">
      <c r="A71" s="883" t="s">
        <v>700</v>
      </c>
      <c r="B71" s="884"/>
      <c r="C71" s="899"/>
      <c r="D71" s="917">
        <v>0</v>
      </c>
      <c r="E71" s="917">
        <v>0</v>
      </c>
      <c r="F71" s="886">
        <f t="shared" si="114"/>
        <v>0</v>
      </c>
      <c r="G71" s="884"/>
      <c r="H71" s="899"/>
      <c r="I71" s="917">
        <v>0</v>
      </c>
      <c r="J71" s="917">
        <v>0</v>
      </c>
      <c r="K71" s="886">
        <f t="shared" si="115"/>
        <v>0</v>
      </c>
      <c r="L71" s="884"/>
      <c r="M71" s="899"/>
      <c r="N71" s="917">
        <v>0</v>
      </c>
      <c r="O71" s="917">
        <v>0</v>
      </c>
      <c r="P71" s="887">
        <f t="shared" si="116"/>
        <v>0</v>
      </c>
      <c r="Q71" s="884"/>
      <c r="R71" s="918"/>
      <c r="S71" s="919"/>
      <c r="T71" s="884"/>
      <c r="U71" s="918"/>
      <c r="V71" s="919"/>
      <c r="W71" s="884"/>
      <c r="X71" s="899"/>
      <c r="Y71" s="899">
        <f t="shared" ref="Y71:Z76" si="125">N71+R71-U71</f>
        <v>0</v>
      </c>
      <c r="Z71" s="899">
        <f t="shared" si="125"/>
        <v>0</v>
      </c>
      <c r="AA71" s="886">
        <f t="shared" si="117"/>
        <v>0</v>
      </c>
      <c r="AB71" s="884"/>
      <c r="AC71" s="899"/>
      <c r="AD71" s="918"/>
      <c r="AE71" s="918"/>
      <c r="AF71" s="886">
        <f t="shared" si="118"/>
        <v>0</v>
      </c>
      <c r="AG71" s="884"/>
      <c r="AH71" s="918"/>
      <c r="AI71" s="919"/>
      <c r="AJ71" s="884"/>
      <c r="AK71" s="918"/>
      <c r="AL71" s="919"/>
      <c r="AM71" s="884"/>
      <c r="AN71" s="918"/>
      <c r="AO71" s="919"/>
      <c r="AP71" s="884"/>
      <c r="AQ71" s="918"/>
      <c r="AR71" s="919"/>
      <c r="AS71" s="903"/>
      <c r="AT71" s="874"/>
      <c r="AU71" s="884"/>
      <c r="AV71" s="899"/>
      <c r="AW71" s="899">
        <f t="shared" ref="AW71:AX76" si="126">AD71-N71</f>
        <v>0</v>
      </c>
      <c r="AX71" s="899">
        <f t="shared" si="126"/>
        <v>0</v>
      </c>
      <c r="AY71" s="891"/>
      <c r="AZ71" s="904"/>
      <c r="BA71" s="904">
        <f t="shared" si="119"/>
        <v>0</v>
      </c>
      <c r="BB71" s="904">
        <f t="shared" si="119"/>
        <v>0</v>
      </c>
      <c r="BC71" s="884"/>
      <c r="BD71" s="899"/>
      <c r="BE71" s="899">
        <f t="shared" ref="BE71:BF76" si="127">AD71-N71-AH71-AK71-AN71-AQ71</f>
        <v>0</v>
      </c>
      <c r="BF71" s="899">
        <f t="shared" si="127"/>
        <v>0</v>
      </c>
      <c r="BG71" s="891">
        <f t="shared" si="120"/>
        <v>0</v>
      </c>
      <c r="BH71" s="904">
        <f t="shared" si="121"/>
        <v>0</v>
      </c>
      <c r="BI71" s="906">
        <f t="shared" si="122"/>
        <v>0</v>
      </c>
      <c r="BJ71" s="905"/>
      <c r="BK71" s="874"/>
      <c r="BL71" s="884"/>
      <c r="BM71" s="899"/>
      <c r="BN71" s="899">
        <f t="shared" ref="BN71:BO76" si="128">AD71-Y71</f>
        <v>0</v>
      </c>
      <c r="BO71" s="899">
        <f t="shared" si="128"/>
        <v>0</v>
      </c>
      <c r="BP71" s="884"/>
      <c r="BQ71" s="899"/>
      <c r="BR71" s="904">
        <f t="shared" si="123"/>
        <v>0</v>
      </c>
      <c r="BS71" s="906">
        <f t="shared" si="123"/>
        <v>0</v>
      </c>
      <c r="BT71" s="874"/>
      <c r="BU71" s="884"/>
      <c r="BV71" s="899"/>
      <c r="BW71" s="899">
        <f t="shared" ref="BW71:BX76" si="129">AD71-D71</f>
        <v>0</v>
      </c>
      <c r="BX71" s="899">
        <f t="shared" si="129"/>
        <v>0</v>
      </c>
      <c r="BY71" s="891"/>
      <c r="BZ71" s="904"/>
      <c r="CA71" s="904">
        <f t="shared" si="124"/>
        <v>0</v>
      </c>
      <c r="CB71" s="906">
        <f t="shared" si="124"/>
        <v>0</v>
      </c>
      <c r="CC71" s="874"/>
      <c r="CD71" s="874"/>
      <c r="CE71" s="874"/>
      <c r="CF71" s="874"/>
      <c r="CG71" s="874"/>
      <c r="CH71" s="874"/>
      <c r="CI71" s="874"/>
      <c r="CJ71" s="874"/>
      <c r="CK71" s="874"/>
      <c r="CL71" s="874"/>
      <c r="CM71" s="874"/>
      <c r="CN71" s="874"/>
      <c r="CO71" s="874"/>
      <c r="CP71" s="874"/>
      <c r="CQ71" s="874"/>
      <c r="CR71" s="874"/>
      <c r="CS71" s="874"/>
      <c r="CT71" s="874"/>
      <c r="CU71" s="874"/>
      <c r="CV71" s="874"/>
      <c r="CW71" s="874"/>
      <c r="CX71" s="874"/>
      <c r="CY71" s="874"/>
      <c r="CZ71" s="874"/>
      <c r="DA71" s="874"/>
      <c r="DB71" s="874"/>
      <c r="DC71" s="874"/>
      <c r="DD71" s="874"/>
      <c r="DE71" s="874"/>
      <c r="DF71" s="874"/>
      <c r="DG71" s="874"/>
      <c r="DH71" s="874"/>
      <c r="DI71" s="874"/>
      <c r="DJ71" s="874"/>
      <c r="DK71" s="874"/>
      <c r="DL71" s="874"/>
      <c r="DM71" s="874"/>
      <c r="DN71" s="874"/>
      <c r="DO71" s="874"/>
      <c r="DP71" s="874"/>
      <c r="DQ71" s="874"/>
      <c r="DR71" s="874"/>
      <c r="DS71" s="874"/>
      <c r="DT71" s="874"/>
      <c r="DU71" s="874"/>
      <c r="DV71" s="874"/>
      <c r="DW71" s="874"/>
      <c r="DX71" s="874"/>
      <c r="DY71" s="874"/>
      <c r="DZ71" s="874"/>
      <c r="EA71" s="874"/>
    </row>
    <row r="72" spans="1:131" ht="20.25" hidden="1" outlineLevel="1">
      <c r="A72" s="896" t="s">
        <v>701</v>
      </c>
      <c r="B72" s="884"/>
      <c r="C72" s="899"/>
      <c r="D72" s="917">
        <v>0</v>
      </c>
      <c r="E72" s="917">
        <v>0</v>
      </c>
      <c r="F72" s="886">
        <f t="shared" si="114"/>
        <v>0</v>
      </c>
      <c r="G72" s="884"/>
      <c r="H72" s="899"/>
      <c r="I72" s="917">
        <v>0</v>
      </c>
      <c r="J72" s="917">
        <v>0</v>
      </c>
      <c r="K72" s="886">
        <f t="shared" si="115"/>
        <v>0</v>
      </c>
      <c r="L72" s="884"/>
      <c r="M72" s="899"/>
      <c r="N72" s="917">
        <v>0</v>
      </c>
      <c r="O72" s="917">
        <v>0</v>
      </c>
      <c r="P72" s="887">
        <f t="shared" si="116"/>
        <v>0</v>
      </c>
      <c r="Q72" s="884"/>
      <c r="R72" s="918">
        <v>0</v>
      </c>
      <c r="S72" s="919">
        <v>0</v>
      </c>
      <c r="T72" s="884"/>
      <c r="U72" s="918">
        <v>0</v>
      </c>
      <c r="V72" s="919">
        <v>0</v>
      </c>
      <c r="W72" s="884"/>
      <c r="X72" s="899"/>
      <c r="Y72" s="899">
        <f t="shared" si="125"/>
        <v>0</v>
      </c>
      <c r="Z72" s="899">
        <f t="shared" si="125"/>
        <v>0</v>
      </c>
      <c r="AA72" s="886">
        <f t="shared" si="117"/>
        <v>0</v>
      </c>
      <c r="AB72" s="884"/>
      <c r="AC72" s="899"/>
      <c r="AD72" s="918">
        <v>0</v>
      </c>
      <c r="AE72" s="918">
        <v>0</v>
      </c>
      <c r="AF72" s="886">
        <f t="shared" si="118"/>
        <v>0</v>
      </c>
      <c r="AG72" s="884"/>
      <c r="AH72" s="918">
        <v>0</v>
      </c>
      <c r="AI72" s="919">
        <v>0</v>
      </c>
      <c r="AJ72" s="884"/>
      <c r="AK72" s="918">
        <v>0</v>
      </c>
      <c r="AL72" s="919">
        <v>0</v>
      </c>
      <c r="AM72" s="884"/>
      <c r="AN72" s="918">
        <v>0</v>
      </c>
      <c r="AO72" s="919">
        <v>0</v>
      </c>
      <c r="AP72" s="884"/>
      <c r="AQ72" s="918">
        <v>0</v>
      </c>
      <c r="AR72" s="919">
        <v>0</v>
      </c>
      <c r="AS72" s="903"/>
      <c r="AT72" s="874"/>
      <c r="AU72" s="884"/>
      <c r="AV72" s="899"/>
      <c r="AW72" s="899">
        <f t="shared" si="126"/>
        <v>0</v>
      </c>
      <c r="AX72" s="899">
        <f t="shared" si="126"/>
        <v>0</v>
      </c>
      <c r="AY72" s="891"/>
      <c r="AZ72" s="904"/>
      <c r="BA72" s="904">
        <f t="shared" si="119"/>
        <v>0</v>
      </c>
      <c r="BB72" s="904">
        <f t="shared" si="119"/>
        <v>0</v>
      </c>
      <c r="BC72" s="884"/>
      <c r="BD72" s="899"/>
      <c r="BE72" s="899">
        <f t="shared" si="127"/>
        <v>0</v>
      </c>
      <c r="BF72" s="899">
        <f t="shared" si="127"/>
        <v>0</v>
      </c>
      <c r="BG72" s="891">
        <f t="shared" si="120"/>
        <v>0</v>
      </c>
      <c r="BH72" s="904">
        <f t="shared" si="121"/>
        <v>0</v>
      </c>
      <c r="BI72" s="906">
        <f t="shared" si="122"/>
        <v>0</v>
      </c>
      <c r="BJ72" s="905"/>
      <c r="BK72" s="874"/>
      <c r="BL72" s="884"/>
      <c r="BM72" s="899"/>
      <c r="BN72" s="899">
        <f t="shared" si="128"/>
        <v>0</v>
      </c>
      <c r="BO72" s="899">
        <f t="shared" si="128"/>
        <v>0</v>
      </c>
      <c r="BP72" s="884"/>
      <c r="BQ72" s="899"/>
      <c r="BR72" s="904">
        <f t="shared" si="123"/>
        <v>0</v>
      </c>
      <c r="BS72" s="906">
        <f t="shared" si="123"/>
        <v>0</v>
      </c>
      <c r="BT72" s="874"/>
      <c r="BU72" s="884"/>
      <c r="BV72" s="899"/>
      <c r="BW72" s="899">
        <f t="shared" si="129"/>
        <v>0</v>
      </c>
      <c r="BX72" s="899">
        <f t="shared" si="129"/>
        <v>0</v>
      </c>
      <c r="BY72" s="891"/>
      <c r="BZ72" s="904"/>
      <c r="CA72" s="904">
        <f t="shared" si="124"/>
        <v>0</v>
      </c>
      <c r="CB72" s="906">
        <f t="shared" si="124"/>
        <v>0</v>
      </c>
      <c r="CC72" s="874"/>
      <c r="CD72" s="874"/>
      <c r="CE72" s="874"/>
      <c r="CF72" s="874"/>
      <c r="CG72" s="874"/>
      <c r="CH72" s="874"/>
      <c r="CI72" s="874"/>
      <c r="CJ72" s="874"/>
      <c r="CK72" s="874"/>
      <c r="CL72" s="874"/>
      <c r="CM72" s="874"/>
      <c r="CN72" s="874"/>
      <c r="CO72" s="874"/>
      <c r="CP72" s="874"/>
      <c r="CQ72" s="874"/>
      <c r="CR72" s="874"/>
      <c r="CS72" s="874"/>
      <c r="CT72" s="874"/>
      <c r="CU72" s="874"/>
      <c r="CV72" s="874"/>
      <c r="CW72" s="874"/>
      <c r="CX72" s="874"/>
      <c r="CY72" s="874"/>
      <c r="CZ72" s="874"/>
      <c r="DA72" s="874"/>
      <c r="DB72" s="874"/>
      <c r="DC72" s="874"/>
      <c r="DD72" s="874"/>
      <c r="DE72" s="874"/>
      <c r="DF72" s="874"/>
      <c r="DG72" s="874"/>
      <c r="DH72" s="874"/>
      <c r="DI72" s="874"/>
      <c r="DJ72" s="874"/>
      <c r="DK72" s="874"/>
      <c r="DL72" s="874"/>
      <c r="DM72" s="874"/>
      <c r="DN72" s="874"/>
      <c r="DO72" s="874"/>
      <c r="DP72" s="874"/>
      <c r="DQ72" s="874"/>
      <c r="DR72" s="874"/>
      <c r="DS72" s="874"/>
      <c r="DT72" s="874"/>
      <c r="DU72" s="874"/>
      <c r="DV72" s="874"/>
      <c r="DW72" s="874"/>
      <c r="DX72" s="874"/>
      <c r="DY72" s="874"/>
      <c r="DZ72" s="874"/>
      <c r="EA72" s="874"/>
    </row>
    <row r="73" spans="1:131" ht="20.25" hidden="1" outlineLevel="1">
      <c r="A73" s="896" t="s">
        <v>702</v>
      </c>
      <c r="B73" s="884"/>
      <c r="C73" s="899"/>
      <c r="D73" s="917">
        <v>0</v>
      </c>
      <c r="E73" s="917">
        <v>0</v>
      </c>
      <c r="F73" s="886">
        <f t="shared" si="114"/>
        <v>0</v>
      </c>
      <c r="G73" s="884"/>
      <c r="H73" s="899"/>
      <c r="I73" s="917">
        <v>0</v>
      </c>
      <c r="J73" s="917">
        <v>0</v>
      </c>
      <c r="K73" s="886">
        <f t="shared" si="115"/>
        <v>0</v>
      </c>
      <c r="L73" s="884"/>
      <c r="M73" s="899"/>
      <c r="N73" s="917">
        <v>0</v>
      </c>
      <c r="O73" s="917">
        <v>0</v>
      </c>
      <c r="P73" s="887">
        <f t="shared" si="116"/>
        <v>0</v>
      </c>
      <c r="Q73" s="884"/>
      <c r="R73" s="918"/>
      <c r="S73" s="919"/>
      <c r="T73" s="884"/>
      <c r="U73" s="918"/>
      <c r="V73" s="919"/>
      <c r="W73" s="884"/>
      <c r="X73" s="899"/>
      <c r="Y73" s="899">
        <f t="shared" si="125"/>
        <v>0</v>
      </c>
      <c r="Z73" s="899">
        <f t="shared" si="125"/>
        <v>0</v>
      </c>
      <c r="AA73" s="886">
        <f t="shared" si="117"/>
        <v>0</v>
      </c>
      <c r="AB73" s="884"/>
      <c r="AC73" s="899"/>
      <c r="AD73" s="918"/>
      <c r="AE73" s="918"/>
      <c r="AF73" s="886">
        <f t="shared" si="118"/>
        <v>0</v>
      </c>
      <c r="AG73" s="884"/>
      <c r="AH73" s="918"/>
      <c r="AI73" s="919"/>
      <c r="AJ73" s="884"/>
      <c r="AK73" s="918"/>
      <c r="AL73" s="919"/>
      <c r="AM73" s="884"/>
      <c r="AN73" s="918"/>
      <c r="AO73" s="919"/>
      <c r="AP73" s="884"/>
      <c r="AQ73" s="918"/>
      <c r="AR73" s="919"/>
      <c r="AS73" s="903"/>
      <c r="AT73" s="874"/>
      <c r="AU73" s="884"/>
      <c r="AV73" s="899"/>
      <c r="AW73" s="899">
        <f t="shared" si="126"/>
        <v>0</v>
      </c>
      <c r="AX73" s="899">
        <f t="shared" si="126"/>
        <v>0</v>
      </c>
      <c r="AY73" s="891"/>
      <c r="AZ73" s="904"/>
      <c r="BA73" s="904">
        <f t="shared" si="119"/>
        <v>0</v>
      </c>
      <c r="BB73" s="904">
        <f t="shared" si="119"/>
        <v>0</v>
      </c>
      <c r="BC73" s="884"/>
      <c r="BD73" s="899"/>
      <c r="BE73" s="899">
        <f t="shared" si="127"/>
        <v>0</v>
      </c>
      <c r="BF73" s="899">
        <f t="shared" si="127"/>
        <v>0</v>
      </c>
      <c r="BG73" s="891">
        <f t="shared" si="120"/>
        <v>0</v>
      </c>
      <c r="BH73" s="904">
        <f t="shared" si="121"/>
        <v>0</v>
      </c>
      <c r="BI73" s="906">
        <f t="shared" si="122"/>
        <v>0</v>
      </c>
      <c r="BJ73" s="905"/>
      <c r="BK73" s="874"/>
      <c r="BL73" s="884"/>
      <c r="BM73" s="899"/>
      <c r="BN73" s="899">
        <f t="shared" si="128"/>
        <v>0</v>
      </c>
      <c r="BO73" s="899">
        <f t="shared" si="128"/>
        <v>0</v>
      </c>
      <c r="BP73" s="884"/>
      <c r="BQ73" s="899"/>
      <c r="BR73" s="904">
        <f t="shared" si="123"/>
        <v>0</v>
      </c>
      <c r="BS73" s="906">
        <f t="shared" si="123"/>
        <v>0</v>
      </c>
      <c r="BT73" s="874"/>
      <c r="BU73" s="884"/>
      <c r="BV73" s="899"/>
      <c r="BW73" s="899">
        <f t="shared" si="129"/>
        <v>0</v>
      </c>
      <c r="BX73" s="899">
        <f t="shared" si="129"/>
        <v>0</v>
      </c>
      <c r="BY73" s="891"/>
      <c r="BZ73" s="904"/>
      <c r="CA73" s="904">
        <f t="shared" si="124"/>
        <v>0</v>
      </c>
      <c r="CB73" s="906">
        <f t="shared" si="124"/>
        <v>0</v>
      </c>
      <c r="CC73" s="874"/>
      <c r="CD73" s="874"/>
      <c r="CE73" s="874"/>
      <c r="CF73" s="874"/>
      <c r="CG73" s="874"/>
      <c r="CH73" s="874"/>
      <c r="CI73" s="874"/>
      <c r="CJ73" s="874"/>
      <c r="CK73" s="874"/>
      <c r="CL73" s="874"/>
      <c r="CM73" s="874"/>
      <c r="CN73" s="874"/>
      <c r="CO73" s="874"/>
      <c r="CP73" s="874"/>
      <c r="CQ73" s="874"/>
      <c r="CR73" s="874"/>
      <c r="CS73" s="874"/>
      <c r="CT73" s="874"/>
      <c r="CU73" s="874"/>
      <c r="CV73" s="874"/>
      <c r="CW73" s="874"/>
      <c r="CX73" s="874"/>
      <c r="CY73" s="874"/>
      <c r="CZ73" s="874"/>
      <c r="DA73" s="874"/>
      <c r="DB73" s="874"/>
      <c r="DC73" s="874"/>
      <c r="DD73" s="874"/>
      <c r="DE73" s="874"/>
      <c r="DF73" s="874"/>
      <c r="DG73" s="874"/>
      <c r="DH73" s="874"/>
      <c r="DI73" s="874"/>
      <c r="DJ73" s="874"/>
      <c r="DK73" s="874"/>
      <c r="DL73" s="874"/>
      <c r="DM73" s="874"/>
      <c r="DN73" s="874"/>
      <c r="DO73" s="874"/>
      <c r="DP73" s="874"/>
      <c r="DQ73" s="874"/>
      <c r="DR73" s="874"/>
      <c r="DS73" s="874"/>
      <c r="DT73" s="874"/>
      <c r="DU73" s="874"/>
      <c r="DV73" s="874"/>
      <c r="DW73" s="874"/>
      <c r="DX73" s="874"/>
      <c r="DY73" s="874"/>
      <c r="DZ73" s="874"/>
      <c r="EA73" s="874"/>
    </row>
    <row r="74" spans="1:131" ht="20.25" hidden="1" outlineLevel="1">
      <c r="A74" s="896" t="s">
        <v>703</v>
      </c>
      <c r="B74" s="884"/>
      <c r="C74" s="899"/>
      <c r="D74" s="917">
        <v>0</v>
      </c>
      <c r="E74" s="917">
        <v>0</v>
      </c>
      <c r="F74" s="886">
        <f t="shared" si="114"/>
        <v>0</v>
      </c>
      <c r="G74" s="884"/>
      <c r="H74" s="899"/>
      <c r="I74" s="917">
        <v>0</v>
      </c>
      <c r="J74" s="917">
        <v>0</v>
      </c>
      <c r="K74" s="886">
        <f t="shared" si="115"/>
        <v>0</v>
      </c>
      <c r="L74" s="884"/>
      <c r="M74" s="899"/>
      <c r="N74" s="917">
        <v>0</v>
      </c>
      <c r="O74" s="917">
        <v>0</v>
      </c>
      <c r="P74" s="887">
        <f t="shared" si="116"/>
        <v>0</v>
      </c>
      <c r="Q74" s="884"/>
      <c r="R74" s="918"/>
      <c r="S74" s="919"/>
      <c r="T74" s="884"/>
      <c r="U74" s="918"/>
      <c r="V74" s="919"/>
      <c r="W74" s="884"/>
      <c r="X74" s="899"/>
      <c r="Y74" s="899">
        <f t="shared" si="125"/>
        <v>0</v>
      </c>
      <c r="Z74" s="899">
        <f t="shared" si="125"/>
        <v>0</v>
      </c>
      <c r="AA74" s="886">
        <f t="shared" si="117"/>
        <v>0</v>
      </c>
      <c r="AB74" s="884"/>
      <c r="AC74" s="899"/>
      <c r="AD74" s="918"/>
      <c r="AE74" s="918"/>
      <c r="AF74" s="886">
        <f t="shared" si="118"/>
        <v>0</v>
      </c>
      <c r="AG74" s="884"/>
      <c r="AH74" s="918"/>
      <c r="AI74" s="919"/>
      <c r="AJ74" s="884"/>
      <c r="AK74" s="918"/>
      <c r="AL74" s="919"/>
      <c r="AM74" s="884"/>
      <c r="AN74" s="918"/>
      <c r="AO74" s="919"/>
      <c r="AP74" s="884"/>
      <c r="AQ74" s="918"/>
      <c r="AR74" s="919"/>
      <c r="AS74" s="903"/>
      <c r="AT74" s="874"/>
      <c r="AU74" s="884"/>
      <c r="AV74" s="899"/>
      <c r="AW74" s="899">
        <f t="shared" si="126"/>
        <v>0</v>
      </c>
      <c r="AX74" s="899">
        <f t="shared" si="126"/>
        <v>0</v>
      </c>
      <c r="AY74" s="891"/>
      <c r="AZ74" s="904"/>
      <c r="BA74" s="904">
        <f t="shared" si="119"/>
        <v>0</v>
      </c>
      <c r="BB74" s="904">
        <f t="shared" si="119"/>
        <v>0</v>
      </c>
      <c r="BC74" s="884"/>
      <c r="BD74" s="899"/>
      <c r="BE74" s="899">
        <f t="shared" si="127"/>
        <v>0</v>
      </c>
      <c r="BF74" s="899">
        <f t="shared" si="127"/>
        <v>0</v>
      </c>
      <c r="BG74" s="891">
        <f t="shared" si="120"/>
        <v>0</v>
      </c>
      <c r="BH74" s="904">
        <f t="shared" si="121"/>
        <v>0</v>
      </c>
      <c r="BI74" s="906">
        <f t="shared" si="122"/>
        <v>0</v>
      </c>
      <c r="BJ74" s="905"/>
      <c r="BK74" s="874"/>
      <c r="BL74" s="884"/>
      <c r="BM74" s="899"/>
      <c r="BN74" s="899">
        <f t="shared" si="128"/>
        <v>0</v>
      </c>
      <c r="BO74" s="899">
        <f t="shared" si="128"/>
        <v>0</v>
      </c>
      <c r="BP74" s="884"/>
      <c r="BQ74" s="899"/>
      <c r="BR74" s="904">
        <f t="shared" si="123"/>
        <v>0</v>
      </c>
      <c r="BS74" s="906">
        <f t="shared" si="123"/>
        <v>0</v>
      </c>
      <c r="BT74" s="874"/>
      <c r="BU74" s="884"/>
      <c r="BV74" s="899"/>
      <c r="BW74" s="899">
        <f t="shared" si="129"/>
        <v>0</v>
      </c>
      <c r="BX74" s="899">
        <f t="shared" si="129"/>
        <v>0</v>
      </c>
      <c r="BY74" s="891"/>
      <c r="BZ74" s="904"/>
      <c r="CA74" s="904">
        <f t="shared" si="124"/>
        <v>0</v>
      </c>
      <c r="CB74" s="906">
        <f t="shared" si="124"/>
        <v>0</v>
      </c>
      <c r="CC74" s="874"/>
      <c r="CD74" s="874"/>
      <c r="CE74" s="874"/>
      <c r="CF74" s="874"/>
      <c r="CG74" s="874"/>
      <c r="CH74" s="874"/>
      <c r="CI74" s="874"/>
      <c r="CJ74" s="874"/>
      <c r="CK74" s="874"/>
      <c r="CL74" s="874"/>
      <c r="CM74" s="874"/>
      <c r="CN74" s="874"/>
      <c r="CO74" s="874"/>
      <c r="CP74" s="874"/>
      <c r="CQ74" s="874"/>
      <c r="CR74" s="874"/>
      <c r="CS74" s="874"/>
      <c r="CT74" s="874"/>
      <c r="CU74" s="874"/>
      <c r="CV74" s="874"/>
      <c r="CW74" s="874"/>
      <c r="CX74" s="874"/>
      <c r="CY74" s="874"/>
      <c r="CZ74" s="874"/>
      <c r="DA74" s="874"/>
      <c r="DB74" s="874"/>
      <c r="DC74" s="874"/>
      <c r="DD74" s="874"/>
      <c r="DE74" s="874"/>
      <c r="DF74" s="874"/>
      <c r="DG74" s="874"/>
      <c r="DH74" s="874"/>
      <c r="DI74" s="874"/>
      <c r="DJ74" s="874"/>
      <c r="DK74" s="874"/>
      <c r="DL74" s="874"/>
      <c r="DM74" s="874"/>
      <c r="DN74" s="874"/>
      <c r="DO74" s="874"/>
      <c r="DP74" s="874"/>
      <c r="DQ74" s="874"/>
      <c r="DR74" s="874"/>
      <c r="DS74" s="874"/>
      <c r="DT74" s="874"/>
      <c r="DU74" s="874"/>
      <c r="DV74" s="874"/>
      <c r="DW74" s="874"/>
      <c r="DX74" s="874"/>
      <c r="DY74" s="874"/>
      <c r="DZ74" s="874"/>
      <c r="EA74" s="874"/>
    </row>
    <row r="75" spans="1:131" ht="20.25" hidden="1" outlineLevel="1">
      <c r="A75" s="896" t="s">
        <v>704</v>
      </c>
      <c r="B75" s="884"/>
      <c r="C75" s="899"/>
      <c r="D75" s="917">
        <v>0</v>
      </c>
      <c r="E75" s="917">
        <v>0</v>
      </c>
      <c r="F75" s="886">
        <f t="shared" si="114"/>
        <v>0</v>
      </c>
      <c r="G75" s="884"/>
      <c r="H75" s="899"/>
      <c r="I75" s="917">
        <v>0</v>
      </c>
      <c r="J75" s="917">
        <v>0</v>
      </c>
      <c r="K75" s="886">
        <f t="shared" si="115"/>
        <v>0</v>
      </c>
      <c r="L75" s="884"/>
      <c r="M75" s="899"/>
      <c r="N75" s="917">
        <v>0</v>
      </c>
      <c r="O75" s="917">
        <v>0</v>
      </c>
      <c r="P75" s="887">
        <f t="shared" si="116"/>
        <v>0</v>
      </c>
      <c r="Q75" s="884"/>
      <c r="R75" s="918"/>
      <c r="S75" s="919"/>
      <c r="T75" s="884"/>
      <c r="U75" s="918"/>
      <c r="V75" s="919"/>
      <c r="W75" s="884"/>
      <c r="X75" s="899"/>
      <c r="Y75" s="899">
        <f t="shared" si="125"/>
        <v>0</v>
      </c>
      <c r="Z75" s="899">
        <f t="shared" si="125"/>
        <v>0</v>
      </c>
      <c r="AA75" s="886">
        <f t="shared" si="117"/>
        <v>0</v>
      </c>
      <c r="AB75" s="884"/>
      <c r="AC75" s="899"/>
      <c r="AD75" s="918"/>
      <c r="AE75" s="918"/>
      <c r="AF75" s="886">
        <f t="shared" si="118"/>
        <v>0</v>
      </c>
      <c r="AG75" s="884"/>
      <c r="AH75" s="918"/>
      <c r="AI75" s="919"/>
      <c r="AJ75" s="884"/>
      <c r="AK75" s="918"/>
      <c r="AL75" s="919"/>
      <c r="AM75" s="884"/>
      <c r="AN75" s="918"/>
      <c r="AO75" s="919"/>
      <c r="AP75" s="884"/>
      <c r="AQ75" s="918"/>
      <c r="AR75" s="919"/>
      <c r="AS75" s="903"/>
      <c r="AT75" s="874"/>
      <c r="AU75" s="884"/>
      <c r="AV75" s="899"/>
      <c r="AW75" s="899">
        <f t="shared" si="126"/>
        <v>0</v>
      </c>
      <c r="AX75" s="899">
        <f t="shared" si="126"/>
        <v>0</v>
      </c>
      <c r="AY75" s="891"/>
      <c r="AZ75" s="904"/>
      <c r="BA75" s="904">
        <f t="shared" si="119"/>
        <v>0</v>
      </c>
      <c r="BB75" s="904">
        <f t="shared" si="119"/>
        <v>0</v>
      </c>
      <c r="BC75" s="884"/>
      <c r="BD75" s="899"/>
      <c r="BE75" s="899">
        <f t="shared" si="127"/>
        <v>0</v>
      </c>
      <c r="BF75" s="899">
        <f t="shared" si="127"/>
        <v>0</v>
      </c>
      <c r="BG75" s="891">
        <f t="shared" si="120"/>
        <v>0</v>
      </c>
      <c r="BH75" s="904">
        <f t="shared" si="121"/>
        <v>0</v>
      </c>
      <c r="BI75" s="906">
        <f t="shared" si="122"/>
        <v>0</v>
      </c>
      <c r="BJ75" s="905"/>
      <c r="BK75" s="874"/>
      <c r="BL75" s="884"/>
      <c r="BM75" s="899"/>
      <c r="BN75" s="899">
        <f t="shared" si="128"/>
        <v>0</v>
      </c>
      <c r="BO75" s="899">
        <f t="shared" si="128"/>
        <v>0</v>
      </c>
      <c r="BP75" s="884"/>
      <c r="BQ75" s="899"/>
      <c r="BR75" s="904">
        <f t="shared" si="123"/>
        <v>0</v>
      </c>
      <c r="BS75" s="906">
        <f t="shared" si="123"/>
        <v>0</v>
      </c>
      <c r="BT75" s="874"/>
      <c r="BU75" s="884"/>
      <c r="BV75" s="899"/>
      <c r="BW75" s="899">
        <f t="shared" si="129"/>
        <v>0</v>
      </c>
      <c r="BX75" s="899">
        <f t="shared" si="129"/>
        <v>0</v>
      </c>
      <c r="BY75" s="891"/>
      <c r="BZ75" s="904"/>
      <c r="CA75" s="904">
        <f t="shared" si="124"/>
        <v>0</v>
      </c>
      <c r="CB75" s="906">
        <f t="shared" si="124"/>
        <v>0</v>
      </c>
      <c r="CC75" s="874"/>
      <c r="CD75" s="874"/>
      <c r="CE75" s="874"/>
      <c r="CF75" s="874"/>
      <c r="CG75" s="874"/>
      <c r="CH75" s="874"/>
      <c r="CI75" s="874"/>
      <c r="CJ75" s="874"/>
      <c r="CK75" s="874"/>
      <c r="CL75" s="874"/>
      <c r="CM75" s="874"/>
      <c r="CN75" s="874"/>
      <c r="CO75" s="874"/>
      <c r="CP75" s="874"/>
      <c r="CQ75" s="874"/>
      <c r="CR75" s="874"/>
      <c r="CS75" s="874"/>
      <c r="CT75" s="874"/>
      <c r="CU75" s="874"/>
      <c r="CV75" s="874"/>
      <c r="CW75" s="874"/>
      <c r="CX75" s="874"/>
      <c r="CY75" s="874"/>
      <c r="CZ75" s="874"/>
      <c r="DA75" s="874"/>
      <c r="DB75" s="874"/>
      <c r="DC75" s="874"/>
      <c r="DD75" s="874"/>
      <c r="DE75" s="874"/>
      <c r="DF75" s="874"/>
      <c r="DG75" s="874"/>
      <c r="DH75" s="874"/>
      <c r="DI75" s="874"/>
      <c r="DJ75" s="874"/>
      <c r="DK75" s="874"/>
      <c r="DL75" s="874"/>
      <c r="DM75" s="874"/>
      <c r="DN75" s="874"/>
      <c r="DO75" s="874"/>
      <c r="DP75" s="874"/>
      <c r="DQ75" s="874"/>
      <c r="DR75" s="874"/>
      <c r="DS75" s="874"/>
      <c r="DT75" s="874"/>
      <c r="DU75" s="874"/>
      <c r="DV75" s="874"/>
      <c r="DW75" s="874"/>
      <c r="DX75" s="874"/>
      <c r="DY75" s="874"/>
      <c r="DZ75" s="874"/>
      <c r="EA75" s="874"/>
    </row>
    <row r="76" spans="1:131" ht="20.25" hidden="1" outlineLevel="1">
      <c r="A76" s="897" t="s">
        <v>705</v>
      </c>
      <c r="B76" s="884"/>
      <c r="C76" s="899"/>
      <c r="D76" s="917">
        <v>0</v>
      </c>
      <c r="E76" s="917">
        <v>0</v>
      </c>
      <c r="F76" s="886">
        <f t="shared" si="114"/>
        <v>0</v>
      </c>
      <c r="G76" s="884"/>
      <c r="H76" s="899"/>
      <c r="I76" s="917">
        <v>0</v>
      </c>
      <c r="J76" s="917">
        <v>0</v>
      </c>
      <c r="K76" s="886">
        <f t="shared" si="115"/>
        <v>0</v>
      </c>
      <c r="L76" s="884"/>
      <c r="M76" s="899"/>
      <c r="N76" s="917">
        <v>0</v>
      </c>
      <c r="O76" s="917">
        <v>0</v>
      </c>
      <c r="P76" s="887">
        <f t="shared" si="116"/>
        <v>0</v>
      </c>
      <c r="Q76" s="884"/>
      <c r="R76" s="918"/>
      <c r="S76" s="919"/>
      <c r="T76" s="884"/>
      <c r="U76" s="918"/>
      <c r="V76" s="919"/>
      <c r="W76" s="884"/>
      <c r="X76" s="899"/>
      <c r="Y76" s="899">
        <f t="shared" si="125"/>
        <v>0</v>
      </c>
      <c r="Z76" s="899">
        <f t="shared" si="125"/>
        <v>0</v>
      </c>
      <c r="AA76" s="886">
        <f t="shared" si="117"/>
        <v>0</v>
      </c>
      <c r="AB76" s="884"/>
      <c r="AC76" s="899"/>
      <c r="AD76" s="918"/>
      <c r="AE76" s="918"/>
      <c r="AF76" s="886">
        <f t="shared" si="118"/>
        <v>0</v>
      </c>
      <c r="AG76" s="884"/>
      <c r="AH76" s="918"/>
      <c r="AI76" s="919"/>
      <c r="AJ76" s="884"/>
      <c r="AK76" s="918"/>
      <c r="AL76" s="919"/>
      <c r="AM76" s="884"/>
      <c r="AN76" s="918"/>
      <c r="AO76" s="919"/>
      <c r="AP76" s="884"/>
      <c r="AQ76" s="918"/>
      <c r="AR76" s="919"/>
      <c r="AS76" s="903"/>
      <c r="AT76" s="874"/>
      <c r="AU76" s="884"/>
      <c r="AV76" s="899"/>
      <c r="AW76" s="899">
        <f t="shared" si="126"/>
        <v>0</v>
      </c>
      <c r="AX76" s="899">
        <f t="shared" si="126"/>
        <v>0</v>
      </c>
      <c r="AY76" s="891"/>
      <c r="AZ76" s="904"/>
      <c r="BA76" s="904">
        <f t="shared" si="119"/>
        <v>0</v>
      </c>
      <c r="BB76" s="904">
        <f t="shared" si="119"/>
        <v>0</v>
      </c>
      <c r="BC76" s="884"/>
      <c r="BD76" s="899"/>
      <c r="BE76" s="899">
        <f t="shared" si="127"/>
        <v>0</v>
      </c>
      <c r="BF76" s="899">
        <f t="shared" si="127"/>
        <v>0</v>
      </c>
      <c r="BG76" s="891">
        <f t="shared" si="120"/>
        <v>0</v>
      </c>
      <c r="BH76" s="904">
        <f t="shared" si="121"/>
        <v>0</v>
      </c>
      <c r="BI76" s="906">
        <f t="shared" si="122"/>
        <v>0</v>
      </c>
      <c r="BJ76" s="905"/>
      <c r="BK76" s="874"/>
      <c r="BL76" s="884"/>
      <c r="BM76" s="899"/>
      <c r="BN76" s="899">
        <f t="shared" si="128"/>
        <v>0</v>
      </c>
      <c r="BO76" s="899">
        <f t="shared" si="128"/>
        <v>0</v>
      </c>
      <c r="BP76" s="884"/>
      <c r="BQ76" s="899"/>
      <c r="BR76" s="904">
        <f t="shared" si="123"/>
        <v>0</v>
      </c>
      <c r="BS76" s="906">
        <f t="shared" si="123"/>
        <v>0</v>
      </c>
      <c r="BT76" s="874"/>
      <c r="BU76" s="884"/>
      <c r="BV76" s="899"/>
      <c r="BW76" s="899">
        <f t="shared" si="129"/>
        <v>0</v>
      </c>
      <c r="BX76" s="899">
        <f t="shared" si="129"/>
        <v>0</v>
      </c>
      <c r="BY76" s="891"/>
      <c r="BZ76" s="904"/>
      <c r="CA76" s="904">
        <f t="shared" si="124"/>
        <v>0</v>
      </c>
      <c r="CB76" s="906">
        <f t="shared" si="124"/>
        <v>0</v>
      </c>
      <c r="CC76" s="874"/>
      <c r="CD76" s="874"/>
      <c r="CE76" s="874"/>
      <c r="CF76" s="874"/>
      <c r="CG76" s="874"/>
      <c r="CH76" s="874"/>
      <c r="CI76" s="874"/>
      <c r="CJ76" s="874"/>
      <c r="CK76" s="874"/>
      <c r="CL76" s="874"/>
      <c r="CM76" s="874"/>
      <c r="CN76" s="874"/>
      <c r="CO76" s="874"/>
      <c r="CP76" s="874"/>
      <c r="CQ76" s="874"/>
      <c r="CR76" s="874"/>
      <c r="CS76" s="874"/>
      <c r="CT76" s="874"/>
      <c r="CU76" s="874"/>
      <c r="CV76" s="874"/>
      <c r="CW76" s="874"/>
      <c r="CX76" s="874"/>
      <c r="CY76" s="874"/>
      <c r="CZ76" s="874"/>
      <c r="DA76" s="874"/>
      <c r="DB76" s="874"/>
      <c r="DC76" s="874"/>
      <c r="DD76" s="874"/>
      <c r="DE76" s="874"/>
      <c r="DF76" s="874"/>
      <c r="DG76" s="874"/>
      <c r="DH76" s="874"/>
      <c r="DI76" s="874"/>
      <c r="DJ76" s="874"/>
      <c r="DK76" s="874"/>
      <c r="DL76" s="874"/>
      <c r="DM76" s="874"/>
      <c r="DN76" s="874"/>
      <c r="DO76" s="874"/>
      <c r="DP76" s="874"/>
      <c r="DQ76" s="874"/>
      <c r="DR76" s="874"/>
      <c r="DS76" s="874"/>
      <c r="DT76" s="874"/>
      <c r="DU76" s="874"/>
      <c r="DV76" s="874"/>
      <c r="DW76" s="874"/>
      <c r="DX76" s="874"/>
      <c r="DY76" s="874"/>
      <c r="DZ76" s="874"/>
      <c r="EA76" s="874"/>
    </row>
    <row r="77" spans="1:131" ht="20.25" hidden="1" outlineLevel="1">
      <c r="A77" s="896" t="s">
        <v>706</v>
      </c>
      <c r="B77" s="884"/>
      <c r="C77" s="917">
        <v>0</v>
      </c>
      <c r="D77" s="899"/>
      <c r="E77" s="899"/>
      <c r="F77" s="902"/>
      <c r="G77" s="884"/>
      <c r="H77" s="917">
        <v>0</v>
      </c>
      <c r="I77" s="899"/>
      <c r="J77" s="899"/>
      <c r="K77" s="902"/>
      <c r="L77" s="884"/>
      <c r="M77" s="917">
        <v>0</v>
      </c>
      <c r="N77" s="899"/>
      <c r="O77" s="899"/>
      <c r="P77" s="907"/>
      <c r="Q77" s="920"/>
      <c r="R77" s="899"/>
      <c r="S77" s="902"/>
      <c r="T77" s="920"/>
      <c r="U77" s="899"/>
      <c r="V77" s="902"/>
      <c r="W77" s="884"/>
      <c r="X77" s="899">
        <f>M77+Q77-T77</f>
        <v>0</v>
      </c>
      <c r="Y77" s="899"/>
      <c r="Z77" s="899"/>
      <c r="AA77" s="902"/>
      <c r="AB77" s="884"/>
      <c r="AC77" s="918"/>
      <c r="AD77" s="899"/>
      <c r="AE77" s="899"/>
      <c r="AF77" s="902"/>
      <c r="AG77" s="920"/>
      <c r="AH77" s="899"/>
      <c r="AI77" s="902"/>
      <c r="AJ77" s="920"/>
      <c r="AK77" s="899"/>
      <c r="AL77" s="902"/>
      <c r="AM77" s="920"/>
      <c r="AN77" s="899"/>
      <c r="AO77" s="902"/>
      <c r="AP77" s="920"/>
      <c r="AQ77" s="899"/>
      <c r="AR77" s="902"/>
      <c r="AS77" s="903"/>
      <c r="AT77" s="874"/>
      <c r="AU77" s="884"/>
      <c r="AV77" s="899">
        <f>AC77-M77</f>
        <v>0</v>
      </c>
      <c r="AW77" s="899"/>
      <c r="AX77" s="899"/>
      <c r="AY77" s="891"/>
      <c r="AZ77" s="904">
        <f>IF(M77=0,0,AC77/M77*100)</f>
        <v>0</v>
      </c>
      <c r="BA77" s="904"/>
      <c r="BB77" s="904"/>
      <c r="BC77" s="884"/>
      <c r="BD77" s="899">
        <f>AC77-M77-AG77-AJ77-AM77-AP77</f>
        <v>0</v>
      </c>
      <c r="BE77" s="899"/>
      <c r="BF77" s="899"/>
      <c r="BG77" s="884"/>
      <c r="BH77" s="899"/>
      <c r="BI77" s="902"/>
      <c r="BJ77" s="905"/>
      <c r="BK77" s="874"/>
      <c r="BL77" s="884"/>
      <c r="BM77" s="899">
        <f>AC77-X77</f>
        <v>0</v>
      </c>
      <c r="BN77" s="899"/>
      <c r="BO77" s="899"/>
      <c r="BP77" s="884"/>
      <c r="BQ77" s="904">
        <f>IF(X77=0,0,AC77/X77*100)</f>
        <v>0</v>
      </c>
      <c r="BR77" s="899"/>
      <c r="BS77" s="902"/>
      <c r="BT77" s="874"/>
      <c r="BU77" s="884"/>
      <c r="BV77" s="899">
        <f>AC77-C77</f>
        <v>0</v>
      </c>
      <c r="BW77" s="899"/>
      <c r="BX77" s="899"/>
      <c r="BY77" s="891"/>
      <c r="BZ77" s="904">
        <f>IF(C77=0,0,AC77/C77*100)</f>
        <v>0</v>
      </c>
      <c r="CA77" s="904"/>
      <c r="CB77" s="906"/>
      <c r="CC77" s="874"/>
      <c r="CD77" s="874"/>
      <c r="CE77" s="874"/>
      <c r="CF77" s="874"/>
      <c r="CG77" s="874"/>
      <c r="CH77" s="874"/>
      <c r="CI77" s="874"/>
      <c r="CJ77" s="874"/>
      <c r="CK77" s="874"/>
      <c r="CL77" s="874"/>
      <c r="CM77" s="874"/>
      <c r="CN77" s="874"/>
      <c r="CO77" s="874"/>
      <c r="CP77" s="874"/>
      <c r="CQ77" s="874"/>
      <c r="CR77" s="874"/>
      <c r="CS77" s="874"/>
      <c r="CT77" s="874"/>
      <c r="CU77" s="874"/>
      <c r="CV77" s="874"/>
      <c r="CW77" s="874"/>
      <c r="CX77" s="874"/>
      <c r="CY77" s="874"/>
      <c r="CZ77" s="874"/>
      <c r="DA77" s="874"/>
      <c r="DB77" s="874"/>
      <c r="DC77" s="874"/>
      <c r="DD77" s="874"/>
      <c r="DE77" s="874"/>
      <c r="DF77" s="874"/>
      <c r="DG77" s="874"/>
      <c r="DH77" s="874"/>
      <c r="DI77" s="874"/>
      <c r="DJ77" s="874"/>
      <c r="DK77" s="874"/>
      <c r="DL77" s="874"/>
      <c r="DM77" s="874"/>
      <c r="DN77" s="874"/>
      <c r="DO77" s="874"/>
      <c r="DP77" s="874"/>
      <c r="DQ77" s="874"/>
      <c r="DR77" s="874"/>
      <c r="DS77" s="874"/>
      <c r="DT77" s="874"/>
      <c r="DU77" s="874"/>
      <c r="DV77" s="874"/>
      <c r="DW77" s="874"/>
      <c r="DX77" s="874"/>
      <c r="DY77" s="874"/>
      <c r="DZ77" s="874"/>
      <c r="EA77" s="874"/>
    </row>
    <row r="78" spans="1:131" ht="18" hidden="1" customHeight="1" outlineLevel="1">
      <c r="A78" s="921" t="s">
        <v>712</v>
      </c>
      <c r="B78" s="884">
        <f>C78+D78</f>
        <v>0</v>
      </c>
      <c r="C78" s="917">
        <v>0</v>
      </c>
      <c r="D78" s="899">
        <f>SUM(D79:D80,D83:D84)</f>
        <v>0</v>
      </c>
      <c r="E78" s="899">
        <f>SUM(E79:E80,E83:E84)</f>
        <v>0</v>
      </c>
      <c r="F78" s="886">
        <f t="shared" ref="F78:F84" si="130">IF(E78=0,0,ROUND(D78/E78/12,0))</f>
        <v>0</v>
      </c>
      <c r="G78" s="884">
        <f>H78+I78</f>
        <v>0</v>
      </c>
      <c r="H78" s="917">
        <v>0</v>
      </c>
      <c r="I78" s="899">
        <f>SUM(I79:I80,I83:I84)</f>
        <v>0</v>
      </c>
      <c r="J78" s="899">
        <f>SUM(J79:J80,J83:J84)</f>
        <v>0</v>
      </c>
      <c r="K78" s="886">
        <f t="shared" ref="K78:K84" si="131">IF(J78=0,0,ROUND(I78/J78/12,0))</f>
        <v>0</v>
      </c>
      <c r="L78" s="884">
        <f>M78+N78</f>
        <v>0</v>
      </c>
      <c r="M78" s="917">
        <v>0</v>
      </c>
      <c r="N78" s="899">
        <f>SUM(N79:N80,N83:N84)</f>
        <v>0</v>
      </c>
      <c r="O78" s="899">
        <f>SUM(O79:O80,O83:O84)</f>
        <v>0</v>
      </c>
      <c r="P78" s="887">
        <f t="shared" ref="P78:P84" si="132">IF(O78=0,0,ROUND(N78/O78/12,0))</f>
        <v>0</v>
      </c>
      <c r="Q78" s="920"/>
      <c r="R78" s="899">
        <f>SUM(R79:R80,R83:R84)</f>
        <v>0</v>
      </c>
      <c r="S78" s="902">
        <f>SUM(S79:S80,S83:S84)</f>
        <v>0</v>
      </c>
      <c r="T78" s="920"/>
      <c r="U78" s="899">
        <f>SUM(U79:U80,U83:U84)</f>
        <v>0</v>
      </c>
      <c r="V78" s="902">
        <f>SUM(V79:V80,V83:V84)</f>
        <v>0</v>
      </c>
      <c r="W78" s="884">
        <f>X78+Y78</f>
        <v>0</v>
      </c>
      <c r="X78" s="899">
        <f>M78+Q78-T78</f>
        <v>0</v>
      </c>
      <c r="Y78" s="899">
        <f>SUM(Y79:Y80,Y83:Y84)</f>
        <v>0</v>
      </c>
      <c r="Z78" s="899">
        <f>SUM(Z79:Z80,Z83:Z84)</f>
        <v>0</v>
      </c>
      <c r="AA78" s="886">
        <f t="shared" ref="AA78:AA84" si="133">IF(Z78=0,0,ROUND(Y78/Z78/12,0))</f>
        <v>0</v>
      </c>
      <c r="AB78" s="884">
        <f>AC78+AD78</f>
        <v>0</v>
      </c>
      <c r="AC78" s="918"/>
      <c r="AD78" s="899">
        <f>SUM(AD79:AD80,AD83:AD84)</f>
        <v>0</v>
      </c>
      <c r="AE78" s="899">
        <f>SUM(AE79:AE80,AE83:AE84)</f>
        <v>0</v>
      </c>
      <c r="AF78" s="886">
        <f t="shared" ref="AF78:AF84" si="134">IF(AE78=0,0,ROUND(AD78/AE78/12,0))</f>
        <v>0</v>
      </c>
      <c r="AG78" s="920"/>
      <c r="AH78" s="899">
        <f>SUM(AH79:AH80,AH83:AH84)</f>
        <v>0</v>
      </c>
      <c r="AI78" s="902">
        <f>SUM(AI79:AI80,AI83:AI84)</f>
        <v>0</v>
      </c>
      <c r="AJ78" s="920"/>
      <c r="AK78" s="899">
        <f>SUM(AK79:AK80,AK83:AK84)</f>
        <v>0</v>
      </c>
      <c r="AL78" s="902">
        <f>SUM(AL79:AL80,AL83:AL84)</f>
        <v>0</v>
      </c>
      <c r="AM78" s="920"/>
      <c r="AN78" s="899">
        <f>SUM(AN79:AN80,AN83:AN84)</f>
        <v>0</v>
      </c>
      <c r="AO78" s="902">
        <f>SUM(AO79:AO80,AO83:AO84)</f>
        <v>0</v>
      </c>
      <c r="AP78" s="920"/>
      <c r="AQ78" s="899">
        <f>SUM(AQ79:AQ80,AQ83:AQ84)</f>
        <v>0</v>
      </c>
      <c r="AR78" s="902">
        <f>SUM(AR79:AR80,AR83:AR84)</f>
        <v>0</v>
      </c>
      <c r="AS78" s="903"/>
      <c r="AT78" s="874"/>
      <c r="AU78" s="884">
        <f>AV78+AW78</f>
        <v>0</v>
      </c>
      <c r="AV78" s="899">
        <f>AC78-M78</f>
        <v>0</v>
      </c>
      <c r="AW78" s="899">
        <f>SUM(AW79:AW80,AW83:AW84)</f>
        <v>0</v>
      </c>
      <c r="AX78" s="899">
        <f>SUM(AX79:AX80,AX83:AX84)</f>
        <v>0</v>
      </c>
      <c r="AY78" s="891">
        <f>IF(L78=0,0,AB78/L78*100)</f>
        <v>0</v>
      </c>
      <c r="AZ78" s="904">
        <f>IF(M78=0,0,AC78/M78*100)</f>
        <v>0</v>
      </c>
      <c r="BA78" s="904">
        <f t="shared" ref="BA78:BB84" si="135">IF(N78=0,0,AD78/N78*100)</f>
        <v>0</v>
      </c>
      <c r="BB78" s="904">
        <f t="shared" si="135"/>
        <v>0</v>
      </c>
      <c r="BC78" s="884">
        <f>BD78+BE78</f>
        <v>0</v>
      </c>
      <c r="BD78" s="899">
        <f>AC78-M78-AG78-AJ78-AM78-AP78</f>
        <v>0</v>
      </c>
      <c r="BE78" s="899">
        <f>SUM(BE79:BE80,BE83:BE84)</f>
        <v>0</v>
      </c>
      <c r="BF78" s="899">
        <f>SUM(BF79:BF80,BF83:BF84)</f>
        <v>0</v>
      </c>
      <c r="BG78" s="891">
        <f t="shared" ref="BG78:BG84" si="136">IF(F78=0,0,AF78/F78*100)</f>
        <v>0</v>
      </c>
      <c r="BH78" s="904">
        <f t="shared" ref="BH78:BH84" si="137">IF(K78=0,0,AF78/K78*100)</f>
        <v>0</v>
      </c>
      <c r="BI78" s="906">
        <f t="shared" ref="BI78:BI84" si="138">IF(P78=0,0,AF78/P78*100)</f>
        <v>0</v>
      </c>
      <c r="BJ78" s="905"/>
      <c r="BK78" s="874"/>
      <c r="BL78" s="884">
        <f>BM78+BN78</f>
        <v>0</v>
      </c>
      <c r="BM78" s="899">
        <f>AC78-X78</f>
        <v>0</v>
      </c>
      <c r="BN78" s="899">
        <f>SUM(BN79:BN80,BN83:BN84)</f>
        <v>0</v>
      </c>
      <c r="BO78" s="899">
        <f>SUM(BO79:BO80,BO83:BO84)</f>
        <v>0</v>
      </c>
      <c r="BP78" s="891">
        <f>IF(W78=0,0,AB78/W78*100)</f>
        <v>0</v>
      </c>
      <c r="BQ78" s="904">
        <f>IF(X78=0,0,AC78/X78*100)</f>
        <v>0</v>
      </c>
      <c r="BR78" s="904">
        <f t="shared" ref="BR78:BS84" si="139">IF(Y78=0,0,AD78/Y78*100)</f>
        <v>0</v>
      </c>
      <c r="BS78" s="906">
        <f t="shared" si="139"/>
        <v>0</v>
      </c>
      <c r="BT78" s="874"/>
      <c r="BU78" s="884">
        <f>BV78+BW78</f>
        <v>0</v>
      </c>
      <c r="BV78" s="899">
        <f>AC78-C78</f>
        <v>0</v>
      </c>
      <c r="BW78" s="899">
        <f>SUM(BW79:BW80,BW83:BW84)</f>
        <v>0</v>
      </c>
      <c r="BX78" s="899">
        <f>SUM(BX79:BX80,BX83:BX84)</f>
        <v>0</v>
      </c>
      <c r="BY78" s="891">
        <f>IF(B78=0,0,AB78/B78*100)</f>
        <v>0</v>
      </c>
      <c r="BZ78" s="904">
        <f>IF(C78=0,0,AC78/C78*100)</f>
        <v>0</v>
      </c>
      <c r="CA78" s="904">
        <f t="shared" ref="CA78:CB84" si="140">IF(D78=0,0,AD78/D78*100)</f>
        <v>0</v>
      </c>
      <c r="CB78" s="906">
        <f t="shared" si="140"/>
        <v>0</v>
      </c>
      <c r="CC78" s="874"/>
      <c r="CD78" s="874"/>
      <c r="CE78" s="874"/>
      <c r="CF78" s="874"/>
      <c r="CG78" s="874"/>
      <c r="CH78" s="874"/>
      <c r="CI78" s="874"/>
      <c r="CJ78" s="874"/>
      <c r="CK78" s="874"/>
      <c r="CL78" s="874"/>
      <c r="CM78" s="874"/>
      <c r="CN78" s="874"/>
      <c r="CO78" s="874"/>
      <c r="CP78" s="874"/>
      <c r="CQ78" s="874"/>
      <c r="CR78" s="874"/>
      <c r="CS78" s="874"/>
      <c r="CT78" s="874"/>
      <c r="CU78" s="874"/>
      <c r="CV78" s="874"/>
      <c r="CW78" s="874"/>
      <c r="CX78" s="874"/>
      <c r="CY78" s="874"/>
      <c r="CZ78" s="874"/>
      <c r="DA78" s="874"/>
      <c r="DB78" s="874"/>
      <c r="DC78" s="874"/>
      <c r="DD78" s="874"/>
      <c r="DE78" s="874"/>
      <c r="DF78" s="874"/>
      <c r="DG78" s="874"/>
      <c r="DH78" s="874"/>
      <c r="DI78" s="874"/>
      <c r="DJ78" s="874"/>
      <c r="DK78" s="874"/>
      <c r="DL78" s="874"/>
      <c r="DM78" s="874"/>
      <c r="DN78" s="874"/>
      <c r="DO78" s="874"/>
      <c r="DP78" s="874"/>
      <c r="DQ78" s="874"/>
      <c r="DR78" s="874"/>
      <c r="DS78" s="874"/>
      <c r="DT78" s="874"/>
      <c r="DU78" s="874"/>
      <c r="DV78" s="874"/>
      <c r="DW78" s="874"/>
      <c r="DX78" s="874"/>
      <c r="DY78" s="874"/>
      <c r="DZ78" s="874"/>
      <c r="EA78" s="874"/>
    </row>
    <row r="79" spans="1:131" ht="20.25" hidden="1" outlineLevel="1">
      <c r="A79" s="883" t="s">
        <v>700</v>
      </c>
      <c r="B79" s="884"/>
      <c r="C79" s="899"/>
      <c r="D79" s="917">
        <v>0</v>
      </c>
      <c r="E79" s="917">
        <v>0</v>
      </c>
      <c r="F79" s="886">
        <f t="shared" si="130"/>
        <v>0</v>
      </c>
      <c r="G79" s="884"/>
      <c r="H79" s="899"/>
      <c r="I79" s="917">
        <v>0</v>
      </c>
      <c r="J79" s="917">
        <v>0</v>
      </c>
      <c r="K79" s="886">
        <f t="shared" si="131"/>
        <v>0</v>
      </c>
      <c r="L79" s="884"/>
      <c r="M79" s="899"/>
      <c r="N79" s="917">
        <v>0</v>
      </c>
      <c r="O79" s="917">
        <v>0</v>
      </c>
      <c r="P79" s="887">
        <f t="shared" si="132"/>
        <v>0</v>
      </c>
      <c r="Q79" s="884"/>
      <c r="R79" s="918"/>
      <c r="S79" s="919"/>
      <c r="T79" s="884"/>
      <c r="U79" s="918"/>
      <c r="V79" s="919"/>
      <c r="W79" s="884"/>
      <c r="X79" s="899"/>
      <c r="Y79" s="899">
        <f t="shared" ref="Y79:Z84" si="141">N79+R79-U79</f>
        <v>0</v>
      </c>
      <c r="Z79" s="899">
        <f t="shared" si="141"/>
        <v>0</v>
      </c>
      <c r="AA79" s="886">
        <f t="shared" si="133"/>
        <v>0</v>
      </c>
      <c r="AB79" s="884"/>
      <c r="AC79" s="899"/>
      <c r="AD79" s="918"/>
      <c r="AE79" s="918"/>
      <c r="AF79" s="886">
        <f t="shared" si="134"/>
        <v>0</v>
      </c>
      <c r="AG79" s="884"/>
      <c r="AH79" s="918"/>
      <c r="AI79" s="919"/>
      <c r="AJ79" s="884"/>
      <c r="AK79" s="918"/>
      <c r="AL79" s="919"/>
      <c r="AM79" s="884"/>
      <c r="AN79" s="918"/>
      <c r="AO79" s="919"/>
      <c r="AP79" s="884"/>
      <c r="AQ79" s="918"/>
      <c r="AR79" s="919"/>
      <c r="AS79" s="903"/>
      <c r="AT79" s="874"/>
      <c r="AU79" s="884"/>
      <c r="AV79" s="899"/>
      <c r="AW79" s="899">
        <f t="shared" ref="AW79:AX84" si="142">AD79-N79</f>
        <v>0</v>
      </c>
      <c r="AX79" s="899">
        <f t="shared" si="142"/>
        <v>0</v>
      </c>
      <c r="AY79" s="891"/>
      <c r="AZ79" s="904"/>
      <c r="BA79" s="904">
        <f t="shared" si="135"/>
        <v>0</v>
      </c>
      <c r="BB79" s="904">
        <f t="shared" si="135"/>
        <v>0</v>
      </c>
      <c r="BC79" s="884"/>
      <c r="BD79" s="899"/>
      <c r="BE79" s="899">
        <f t="shared" ref="BE79:BF84" si="143">AD79-N79-AH79-AK79-AN79-AQ79</f>
        <v>0</v>
      </c>
      <c r="BF79" s="899">
        <f t="shared" si="143"/>
        <v>0</v>
      </c>
      <c r="BG79" s="891">
        <f t="shared" si="136"/>
        <v>0</v>
      </c>
      <c r="BH79" s="904">
        <f t="shared" si="137"/>
        <v>0</v>
      </c>
      <c r="BI79" s="906">
        <f t="shared" si="138"/>
        <v>0</v>
      </c>
      <c r="BJ79" s="905"/>
      <c r="BK79" s="874"/>
      <c r="BL79" s="884"/>
      <c r="BM79" s="899"/>
      <c r="BN79" s="899">
        <f t="shared" ref="BN79:BO84" si="144">AD79-Y79</f>
        <v>0</v>
      </c>
      <c r="BO79" s="899">
        <f t="shared" si="144"/>
        <v>0</v>
      </c>
      <c r="BP79" s="884"/>
      <c r="BQ79" s="899"/>
      <c r="BR79" s="904">
        <f t="shared" si="139"/>
        <v>0</v>
      </c>
      <c r="BS79" s="906">
        <f t="shared" si="139"/>
        <v>0</v>
      </c>
      <c r="BT79" s="874"/>
      <c r="BU79" s="884"/>
      <c r="BV79" s="899"/>
      <c r="BW79" s="899">
        <f t="shared" ref="BW79:BX84" si="145">AD79-D79</f>
        <v>0</v>
      </c>
      <c r="BX79" s="899">
        <f t="shared" si="145"/>
        <v>0</v>
      </c>
      <c r="BY79" s="891"/>
      <c r="BZ79" s="904"/>
      <c r="CA79" s="904">
        <f t="shared" si="140"/>
        <v>0</v>
      </c>
      <c r="CB79" s="906">
        <f t="shared" si="140"/>
        <v>0</v>
      </c>
      <c r="CC79" s="874"/>
      <c r="CD79" s="874"/>
      <c r="CE79" s="874"/>
      <c r="CF79" s="874"/>
      <c r="CG79" s="874"/>
      <c r="CH79" s="874"/>
      <c r="CI79" s="874"/>
      <c r="CJ79" s="874"/>
      <c r="CK79" s="874"/>
      <c r="CL79" s="874"/>
      <c r="CM79" s="874"/>
      <c r="CN79" s="874"/>
      <c r="CO79" s="874"/>
      <c r="CP79" s="874"/>
      <c r="CQ79" s="874"/>
      <c r="CR79" s="874"/>
      <c r="CS79" s="874"/>
      <c r="CT79" s="874"/>
      <c r="CU79" s="874"/>
      <c r="CV79" s="874"/>
      <c r="CW79" s="874"/>
      <c r="CX79" s="874"/>
      <c r="CY79" s="874"/>
      <c r="CZ79" s="874"/>
      <c r="DA79" s="874"/>
      <c r="DB79" s="874"/>
      <c r="DC79" s="874"/>
      <c r="DD79" s="874"/>
      <c r="DE79" s="874"/>
      <c r="DF79" s="874"/>
      <c r="DG79" s="874"/>
      <c r="DH79" s="874"/>
      <c r="DI79" s="874"/>
      <c r="DJ79" s="874"/>
      <c r="DK79" s="874"/>
      <c r="DL79" s="874"/>
      <c r="DM79" s="874"/>
      <c r="DN79" s="874"/>
      <c r="DO79" s="874"/>
      <c r="DP79" s="874"/>
      <c r="DQ79" s="874"/>
      <c r="DR79" s="874"/>
      <c r="DS79" s="874"/>
      <c r="DT79" s="874"/>
      <c r="DU79" s="874"/>
      <c r="DV79" s="874"/>
      <c r="DW79" s="874"/>
      <c r="DX79" s="874"/>
      <c r="DY79" s="874"/>
      <c r="DZ79" s="874"/>
      <c r="EA79" s="874"/>
    </row>
    <row r="80" spans="1:131" ht="20.25" hidden="1" outlineLevel="1">
      <c r="A80" s="896" t="s">
        <v>701</v>
      </c>
      <c r="B80" s="884"/>
      <c r="C80" s="899"/>
      <c r="D80" s="917">
        <v>0</v>
      </c>
      <c r="E80" s="917">
        <v>0</v>
      </c>
      <c r="F80" s="886">
        <f t="shared" si="130"/>
        <v>0</v>
      </c>
      <c r="G80" s="884"/>
      <c r="H80" s="899"/>
      <c r="I80" s="917">
        <v>0</v>
      </c>
      <c r="J80" s="917">
        <v>0</v>
      </c>
      <c r="K80" s="886">
        <f t="shared" si="131"/>
        <v>0</v>
      </c>
      <c r="L80" s="884"/>
      <c r="M80" s="899"/>
      <c r="N80" s="917">
        <v>0</v>
      </c>
      <c r="O80" s="917">
        <v>0</v>
      </c>
      <c r="P80" s="887">
        <f t="shared" si="132"/>
        <v>0</v>
      </c>
      <c r="Q80" s="884"/>
      <c r="R80" s="918">
        <v>0</v>
      </c>
      <c r="S80" s="919">
        <v>0</v>
      </c>
      <c r="T80" s="884"/>
      <c r="U80" s="918">
        <v>0</v>
      </c>
      <c r="V80" s="919">
        <v>0</v>
      </c>
      <c r="W80" s="884"/>
      <c r="X80" s="899"/>
      <c r="Y80" s="899">
        <f>N80+R80-U80</f>
        <v>0</v>
      </c>
      <c r="Z80" s="899">
        <f>O80+S80-V80</f>
        <v>0</v>
      </c>
      <c r="AA80" s="886">
        <f t="shared" si="133"/>
        <v>0</v>
      </c>
      <c r="AB80" s="884"/>
      <c r="AC80" s="899"/>
      <c r="AD80" s="918">
        <v>0</v>
      </c>
      <c r="AE80" s="918">
        <v>0</v>
      </c>
      <c r="AF80" s="886">
        <f t="shared" si="134"/>
        <v>0</v>
      </c>
      <c r="AG80" s="884"/>
      <c r="AH80" s="918">
        <v>0</v>
      </c>
      <c r="AI80" s="919">
        <v>0</v>
      </c>
      <c r="AJ80" s="884"/>
      <c r="AK80" s="918">
        <v>0</v>
      </c>
      <c r="AL80" s="919">
        <v>0</v>
      </c>
      <c r="AM80" s="884"/>
      <c r="AN80" s="918">
        <v>0</v>
      </c>
      <c r="AO80" s="919">
        <v>0</v>
      </c>
      <c r="AP80" s="884"/>
      <c r="AQ80" s="918">
        <v>0</v>
      </c>
      <c r="AR80" s="919">
        <v>0</v>
      </c>
      <c r="AS80" s="903"/>
      <c r="AT80" s="874"/>
      <c r="AU80" s="884"/>
      <c r="AV80" s="899"/>
      <c r="AW80" s="899">
        <f t="shared" si="142"/>
        <v>0</v>
      </c>
      <c r="AX80" s="899">
        <f t="shared" si="142"/>
        <v>0</v>
      </c>
      <c r="AY80" s="891"/>
      <c r="AZ80" s="904"/>
      <c r="BA80" s="904">
        <f t="shared" si="135"/>
        <v>0</v>
      </c>
      <c r="BB80" s="904">
        <f t="shared" si="135"/>
        <v>0</v>
      </c>
      <c r="BC80" s="884"/>
      <c r="BD80" s="899"/>
      <c r="BE80" s="899">
        <f t="shared" si="143"/>
        <v>0</v>
      </c>
      <c r="BF80" s="899">
        <f t="shared" si="143"/>
        <v>0</v>
      </c>
      <c r="BG80" s="891">
        <f t="shared" si="136"/>
        <v>0</v>
      </c>
      <c r="BH80" s="904">
        <f t="shared" si="137"/>
        <v>0</v>
      </c>
      <c r="BI80" s="906">
        <f t="shared" si="138"/>
        <v>0</v>
      </c>
      <c r="BJ80" s="905"/>
      <c r="BK80" s="874"/>
      <c r="BL80" s="884"/>
      <c r="BM80" s="899"/>
      <c r="BN80" s="899">
        <f t="shared" si="144"/>
        <v>0</v>
      </c>
      <c r="BO80" s="899">
        <f t="shared" si="144"/>
        <v>0</v>
      </c>
      <c r="BP80" s="884"/>
      <c r="BQ80" s="899"/>
      <c r="BR80" s="904">
        <f t="shared" si="139"/>
        <v>0</v>
      </c>
      <c r="BS80" s="906">
        <f t="shared" si="139"/>
        <v>0</v>
      </c>
      <c r="BT80" s="874"/>
      <c r="BU80" s="884"/>
      <c r="BV80" s="899"/>
      <c r="BW80" s="899">
        <f t="shared" si="145"/>
        <v>0</v>
      </c>
      <c r="BX80" s="899">
        <f t="shared" si="145"/>
        <v>0</v>
      </c>
      <c r="BY80" s="891"/>
      <c r="BZ80" s="904"/>
      <c r="CA80" s="904">
        <f t="shared" si="140"/>
        <v>0</v>
      </c>
      <c r="CB80" s="906">
        <f t="shared" si="140"/>
        <v>0</v>
      </c>
      <c r="CC80" s="874"/>
      <c r="CD80" s="874"/>
      <c r="CE80" s="874"/>
      <c r="CF80" s="874"/>
      <c r="CG80" s="874"/>
      <c r="CH80" s="874"/>
      <c r="CI80" s="874"/>
      <c r="CJ80" s="874"/>
      <c r="CK80" s="874"/>
      <c r="CL80" s="874"/>
      <c r="CM80" s="874"/>
      <c r="CN80" s="874"/>
      <c r="CO80" s="874"/>
      <c r="CP80" s="874"/>
      <c r="CQ80" s="874"/>
      <c r="CR80" s="874"/>
      <c r="CS80" s="874"/>
      <c r="CT80" s="874"/>
      <c r="CU80" s="874"/>
      <c r="CV80" s="874"/>
      <c r="CW80" s="874"/>
      <c r="CX80" s="874"/>
      <c r="CY80" s="874"/>
      <c r="CZ80" s="874"/>
      <c r="DA80" s="874"/>
      <c r="DB80" s="874"/>
      <c r="DC80" s="874"/>
      <c r="DD80" s="874"/>
      <c r="DE80" s="874"/>
      <c r="DF80" s="874"/>
      <c r="DG80" s="874"/>
      <c r="DH80" s="874"/>
      <c r="DI80" s="874"/>
      <c r="DJ80" s="874"/>
      <c r="DK80" s="874"/>
      <c r="DL80" s="874"/>
      <c r="DM80" s="874"/>
      <c r="DN80" s="874"/>
      <c r="DO80" s="874"/>
      <c r="DP80" s="874"/>
      <c r="DQ80" s="874"/>
      <c r="DR80" s="874"/>
      <c r="DS80" s="874"/>
      <c r="DT80" s="874"/>
      <c r="DU80" s="874"/>
      <c r="DV80" s="874"/>
      <c r="DW80" s="874"/>
      <c r="DX80" s="874"/>
      <c r="DY80" s="874"/>
      <c r="DZ80" s="874"/>
      <c r="EA80" s="874"/>
    </row>
    <row r="81" spans="1:131" ht="20.25" hidden="1" outlineLevel="1">
      <c r="A81" s="896" t="s">
        <v>702</v>
      </c>
      <c r="B81" s="884"/>
      <c r="C81" s="899"/>
      <c r="D81" s="917">
        <v>0</v>
      </c>
      <c r="E81" s="917">
        <v>0</v>
      </c>
      <c r="F81" s="886">
        <f t="shared" si="130"/>
        <v>0</v>
      </c>
      <c r="G81" s="884"/>
      <c r="H81" s="899"/>
      <c r="I81" s="917">
        <v>0</v>
      </c>
      <c r="J81" s="917">
        <v>0</v>
      </c>
      <c r="K81" s="886">
        <f t="shared" si="131"/>
        <v>0</v>
      </c>
      <c r="L81" s="884"/>
      <c r="M81" s="899"/>
      <c r="N81" s="917">
        <v>0</v>
      </c>
      <c r="O81" s="917">
        <v>0</v>
      </c>
      <c r="P81" s="887">
        <f t="shared" si="132"/>
        <v>0</v>
      </c>
      <c r="Q81" s="884"/>
      <c r="R81" s="918"/>
      <c r="S81" s="919"/>
      <c r="T81" s="884"/>
      <c r="U81" s="918"/>
      <c r="V81" s="919"/>
      <c r="W81" s="884"/>
      <c r="X81" s="899"/>
      <c r="Y81" s="899">
        <f t="shared" si="141"/>
        <v>0</v>
      </c>
      <c r="Z81" s="899">
        <f t="shared" si="141"/>
        <v>0</v>
      </c>
      <c r="AA81" s="886">
        <f t="shared" si="133"/>
        <v>0</v>
      </c>
      <c r="AB81" s="884"/>
      <c r="AC81" s="899"/>
      <c r="AD81" s="918"/>
      <c r="AE81" s="918"/>
      <c r="AF81" s="886">
        <f t="shared" si="134"/>
        <v>0</v>
      </c>
      <c r="AG81" s="884"/>
      <c r="AH81" s="918"/>
      <c r="AI81" s="919"/>
      <c r="AJ81" s="884"/>
      <c r="AK81" s="918"/>
      <c r="AL81" s="919"/>
      <c r="AM81" s="884"/>
      <c r="AN81" s="918"/>
      <c r="AO81" s="919"/>
      <c r="AP81" s="884"/>
      <c r="AQ81" s="918"/>
      <c r="AR81" s="919"/>
      <c r="AS81" s="903"/>
      <c r="AT81" s="874"/>
      <c r="AU81" s="884"/>
      <c r="AV81" s="899"/>
      <c r="AW81" s="899">
        <f t="shared" si="142"/>
        <v>0</v>
      </c>
      <c r="AX81" s="899">
        <f t="shared" si="142"/>
        <v>0</v>
      </c>
      <c r="AY81" s="891"/>
      <c r="AZ81" s="904"/>
      <c r="BA81" s="904">
        <f t="shared" si="135"/>
        <v>0</v>
      </c>
      <c r="BB81" s="904">
        <f t="shared" si="135"/>
        <v>0</v>
      </c>
      <c r="BC81" s="884"/>
      <c r="BD81" s="899"/>
      <c r="BE81" s="899">
        <f t="shared" si="143"/>
        <v>0</v>
      </c>
      <c r="BF81" s="899">
        <f t="shared" si="143"/>
        <v>0</v>
      </c>
      <c r="BG81" s="891">
        <f t="shared" si="136"/>
        <v>0</v>
      </c>
      <c r="BH81" s="904">
        <f t="shared" si="137"/>
        <v>0</v>
      </c>
      <c r="BI81" s="906">
        <f t="shared" si="138"/>
        <v>0</v>
      </c>
      <c r="BJ81" s="905"/>
      <c r="BK81" s="874"/>
      <c r="BL81" s="884"/>
      <c r="BM81" s="899"/>
      <c r="BN81" s="899">
        <f t="shared" si="144"/>
        <v>0</v>
      </c>
      <c r="BO81" s="899">
        <f t="shared" si="144"/>
        <v>0</v>
      </c>
      <c r="BP81" s="884"/>
      <c r="BQ81" s="899"/>
      <c r="BR81" s="904">
        <f t="shared" si="139"/>
        <v>0</v>
      </c>
      <c r="BS81" s="906">
        <f t="shared" si="139"/>
        <v>0</v>
      </c>
      <c r="BT81" s="874"/>
      <c r="BU81" s="884"/>
      <c r="BV81" s="899"/>
      <c r="BW81" s="899">
        <f t="shared" si="145"/>
        <v>0</v>
      </c>
      <c r="BX81" s="899">
        <f t="shared" si="145"/>
        <v>0</v>
      </c>
      <c r="BY81" s="891"/>
      <c r="BZ81" s="904"/>
      <c r="CA81" s="904">
        <f t="shared" si="140"/>
        <v>0</v>
      </c>
      <c r="CB81" s="906">
        <f t="shared" si="140"/>
        <v>0</v>
      </c>
      <c r="CC81" s="874"/>
      <c r="CD81" s="874"/>
      <c r="CE81" s="874"/>
      <c r="CF81" s="874"/>
      <c r="CG81" s="874"/>
      <c r="CH81" s="874"/>
      <c r="CI81" s="874"/>
      <c r="CJ81" s="874"/>
      <c r="CK81" s="874"/>
      <c r="CL81" s="874"/>
      <c r="CM81" s="874"/>
      <c r="CN81" s="874"/>
      <c r="CO81" s="874"/>
      <c r="CP81" s="874"/>
      <c r="CQ81" s="874"/>
      <c r="CR81" s="874"/>
      <c r="CS81" s="874"/>
      <c r="CT81" s="874"/>
      <c r="CU81" s="874"/>
      <c r="CV81" s="874"/>
      <c r="CW81" s="874"/>
      <c r="CX81" s="874"/>
      <c r="CY81" s="874"/>
      <c r="CZ81" s="874"/>
      <c r="DA81" s="874"/>
      <c r="DB81" s="874"/>
      <c r="DC81" s="874"/>
      <c r="DD81" s="874"/>
      <c r="DE81" s="874"/>
      <c r="DF81" s="874"/>
      <c r="DG81" s="874"/>
      <c r="DH81" s="874"/>
      <c r="DI81" s="874"/>
      <c r="DJ81" s="874"/>
      <c r="DK81" s="874"/>
      <c r="DL81" s="874"/>
      <c r="DM81" s="874"/>
      <c r="DN81" s="874"/>
      <c r="DO81" s="874"/>
      <c r="DP81" s="874"/>
      <c r="DQ81" s="874"/>
      <c r="DR81" s="874"/>
      <c r="DS81" s="874"/>
      <c r="DT81" s="874"/>
      <c r="DU81" s="874"/>
      <c r="DV81" s="874"/>
      <c r="DW81" s="874"/>
      <c r="DX81" s="874"/>
      <c r="DY81" s="874"/>
      <c r="DZ81" s="874"/>
      <c r="EA81" s="874"/>
    </row>
    <row r="82" spans="1:131" ht="20.25" hidden="1" outlineLevel="1">
      <c r="A82" s="896" t="s">
        <v>703</v>
      </c>
      <c r="B82" s="884"/>
      <c r="C82" s="899"/>
      <c r="D82" s="917">
        <v>0</v>
      </c>
      <c r="E82" s="917">
        <v>0</v>
      </c>
      <c r="F82" s="886">
        <f t="shared" si="130"/>
        <v>0</v>
      </c>
      <c r="G82" s="884"/>
      <c r="H82" s="899"/>
      <c r="I82" s="917">
        <v>0</v>
      </c>
      <c r="J82" s="917">
        <v>0</v>
      </c>
      <c r="K82" s="886">
        <f t="shared" si="131"/>
        <v>0</v>
      </c>
      <c r="L82" s="884"/>
      <c r="M82" s="899"/>
      <c r="N82" s="917">
        <v>0</v>
      </c>
      <c r="O82" s="917">
        <v>0</v>
      </c>
      <c r="P82" s="887">
        <f t="shared" si="132"/>
        <v>0</v>
      </c>
      <c r="Q82" s="884"/>
      <c r="R82" s="918"/>
      <c r="S82" s="919"/>
      <c r="T82" s="884"/>
      <c r="U82" s="918"/>
      <c r="V82" s="919"/>
      <c r="W82" s="884"/>
      <c r="X82" s="899"/>
      <c r="Y82" s="899">
        <f t="shared" si="141"/>
        <v>0</v>
      </c>
      <c r="Z82" s="899">
        <f t="shared" si="141"/>
        <v>0</v>
      </c>
      <c r="AA82" s="886">
        <f t="shared" si="133"/>
        <v>0</v>
      </c>
      <c r="AB82" s="884"/>
      <c r="AC82" s="899"/>
      <c r="AD82" s="918"/>
      <c r="AE82" s="918"/>
      <c r="AF82" s="886">
        <f t="shared" si="134"/>
        <v>0</v>
      </c>
      <c r="AG82" s="884"/>
      <c r="AH82" s="918"/>
      <c r="AI82" s="919"/>
      <c r="AJ82" s="884"/>
      <c r="AK82" s="918"/>
      <c r="AL82" s="919"/>
      <c r="AM82" s="884"/>
      <c r="AN82" s="918"/>
      <c r="AO82" s="919"/>
      <c r="AP82" s="884"/>
      <c r="AQ82" s="918"/>
      <c r="AR82" s="919"/>
      <c r="AS82" s="903"/>
      <c r="AT82" s="874"/>
      <c r="AU82" s="884"/>
      <c r="AV82" s="899"/>
      <c r="AW82" s="899">
        <f t="shared" si="142"/>
        <v>0</v>
      </c>
      <c r="AX82" s="899">
        <f t="shared" si="142"/>
        <v>0</v>
      </c>
      <c r="AY82" s="891"/>
      <c r="AZ82" s="904"/>
      <c r="BA82" s="904">
        <f t="shared" si="135"/>
        <v>0</v>
      </c>
      <c r="BB82" s="904">
        <f t="shared" si="135"/>
        <v>0</v>
      </c>
      <c r="BC82" s="884"/>
      <c r="BD82" s="899"/>
      <c r="BE82" s="899">
        <f t="shared" si="143"/>
        <v>0</v>
      </c>
      <c r="BF82" s="899">
        <f t="shared" si="143"/>
        <v>0</v>
      </c>
      <c r="BG82" s="891">
        <f t="shared" si="136"/>
        <v>0</v>
      </c>
      <c r="BH82" s="904">
        <f t="shared" si="137"/>
        <v>0</v>
      </c>
      <c r="BI82" s="906">
        <f t="shared" si="138"/>
        <v>0</v>
      </c>
      <c r="BJ82" s="905"/>
      <c r="BK82" s="874"/>
      <c r="BL82" s="884"/>
      <c r="BM82" s="899"/>
      <c r="BN82" s="899">
        <f t="shared" si="144"/>
        <v>0</v>
      </c>
      <c r="BO82" s="899">
        <f t="shared" si="144"/>
        <v>0</v>
      </c>
      <c r="BP82" s="884"/>
      <c r="BQ82" s="899"/>
      <c r="BR82" s="904">
        <f t="shared" si="139"/>
        <v>0</v>
      </c>
      <c r="BS82" s="906">
        <f t="shared" si="139"/>
        <v>0</v>
      </c>
      <c r="BT82" s="874"/>
      <c r="BU82" s="884"/>
      <c r="BV82" s="899"/>
      <c r="BW82" s="899">
        <f t="shared" si="145"/>
        <v>0</v>
      </c>
      <c r="BX82" s="899">
        <f t="shared" si="145"/>
        <v>0</v>
      </c>
      <c r="BY82" s="891"/>
      <c r="BZ82" s="904"/>
      <c r="CA82" s="904">
        <f t="shared" si="140"/>
        <v>0</v>
      </c>
      <c r="CB82" s="906">
        <f t="shared" si="140"/>
        <v>0</v>
      </c>
      <c r="CC82" s="874"/>
      <c r="CD82" s="874"/>
      <c r="CE82" s="874"/>
      <c r="CF82" s="874"/>
      <c r="CG82" s="874"/>
      <c r="CH82" s="874"/>
      <c r="CI82" s="874"/>
      <c r="CJ82" s="874"/>
      <c r="CK82" s="874"/>
      <c r="CL82" s="874"/>
      <c r="CM82" s="874"/>
      <c r="CN82" s="874"/>
      <c r="CO82" s="874"/>
      <c r="CP82" s="874"/>
      <c r="CQ82" s="874"/>
      <c r="CR82" s="874"/>
      <c r="CS82" s="874"/>
      <c r="CT82" s="874"/>
      <c r="CU82" s="874"/>
      <c r="CV82" s="874"/>
      <c r="CW82" s="874"/>
      <c r="CX82" s="874"/>
      <c r="CY82" s="874"/>
      <c r="CZ82" s="874"/>
      <c r="DA82" s="874"/>
      <c r="DB82" s="874"/>
      <c r="DC82" s="874"/>
      <c r="DD82" s="874"/>
      <c r="DE82" s="874"/>
      <c r="DF82" s="874"/>
      <c r="DG82" s="874"/>
      <c r="DH82" s="874"/>
      <c r="DI82" s="874"/>
      <c r="DJ82" s="874"/>
      <c r="DK82" s="874"/>
      <c r="DL82" s="874"/>
      <c r="DM82" s="874"/>
      <c r="DN82" s="874"/>
      <c r="DO82" s="874"/>
      <c r="DP82" s="874"/>
      <c r="DQ82" s="874"/>
      <c r="DR82" s="874"/>
      <c r="DS82" s="874"/>
      <c r="DT82" s="874"/>
      <c r="DU82" s="874"/>
      <c r="DV82" s="874"/>
      <c r="DW82" s="874"/>
      <c r="DX82" s="874"/>
      <c r="DY82" s="874"/>
      <c r="DZ82" s="874"/>
      <c r="EA82" s="874"/>
    </row>
    <row r="83" spans="1:131" ht="20.25" hidden="1" outlineLevel="1">
      <c r="A83" s="896" t="s">
        <v>704</v>
      </c>
      <c r="B83" s="884"/>
      <c r="C83" s="899"/>
      <c r="D83" s="917">
        <v>0</v>
      </c>
      <c r="E83" s="917">
        <v>0</v>
      </c>
      <c r="F83" s="886">
        <f t="shared" si="130"/>
        <v>0</v>
      </c>
      <c r="G83" s="884"/>
      <c r="H83" s="899"/>
      <c r="I83" s="917">
        <v>0</v>
      </c>
      <c r="J83" s="917">
        <v>0</v>
      </c>
      <c r="K83" s="886">
        <f t="shared" si="131"/>
        <v>0</v>
      </c>
      <c r="L83" s="884"/>
      <c r="M83" s="899"/>
      <c r="N83" s="917">
        <v>0</v>
      </c>
      <c r="O83" s="917">
        <v>0</v>
      </c>
      <c r="P83" s="887">
        <f t="shared" si="132"/>
        <v>0</v>
      </c>
      <c r="Q83" s="884"/>
      <c r="R83" s="918"/>
      <c r="S83" s="919"/>
      <c r="T83" s="884"/>
      <c r="U83" s="918"/>
      <c r="V83" s="919"/>
      <c r="W83" s="884"/>
      <c r="X83" s="899"/>
      <c r="Y83" s="899">
        <f t="shared" si="141"/>
        <v>0</v>
      </c>
      <c r="Z83" s="899">
        <f t="shared" si="141"/>
        <v>0</v>
      </c>
      <c r="AA83" s="886">
        <f t="shared" si="133"/>
        <v>0</v>
      </c>
      <c r="AB83" s="884"/>
      <c r="AC83" s="899"/>
      <c r="AD83" s="918"/>
      <c r="AE83" s="918"/>
      <c r="AF83" s="886">
        <f t="shared" si="134"/>
        <v>0</v>
      </c>
      <c r="AG83" s="884"/>
      <c r="AH83" s="918"/>
      <c r="AI83" s="919"/>
      <c r="AJ83" s="884"/>
      <c r="AK83" s="918"/>
      <c r="AL83" s="919"/>
      <c r="AM83" s="884"/>
      <c r="AN83" s="918"/>
      <c r="AO83" s="919"/>
      <c r="AP83" s="884"/>
      <c r="AQ83" s="918"/>
      <c r="AR83" s="919"/>
      <c r="AS83" s="903"/>
      <c r="AT83" s="874"/>
      <c r="AU83" s="884"/>
      <c r="AV83" s="899"/>
      <c r="AW83" s="899">
        <f t="shared" si="142"/>
        <v>0</v>
      </c>
      <c r="AX83" s="899">
        <f t="shared" si="142"/>
        <v>0</v>
      </c>
      <c r="AY83" s="891"/>
      <c r="AZ83" s="904"/>
      <c r="BA83" s="904">
        <f t="shared" si="135"/>
        <v>0</v>
      </c>
      <c r="BB83" s="904">
        <f t="shared" si="135"/>
        <v>0</v>
      </c>
      <c r="BC83" s="884"/>
      <c r="BD83" s="899"/>
      <c r="BE83" s="899">
        <f t="shared" si="143"/>
        <v>0</v>
      </c>
      <c r="BF83" s="899">
        <f t="shared" si="143"/>
        <v>0</v>
      </c>
      <c r="BG83" s="891">
        <f t="shared" si="136"/>
        <v>0</v>
      </c>
      <c r="BH83" s="904">
        <f t="shared" si="137"/>
        <v>0</v>
      </c>
      <c r="BI83" s="906">
        <f t="shared" si="138"/>
        <v>0</v>
      </c>
      <c r="BJ83" s="905"/>
      <c r="BK83" s="874"/>
      <c r="BL83" s="884"/>
      <c r="BM83" s="899"/>
      <c r="BN83" s="899">
        <f t="shared" si="144"/>
        <v>0</v>
      </c>
      <c r="BO83" s="899">
        <f t="shared" si="144"/>
        <v>0</v>
      </c>
      <c r="BP83" s="884"/>
      <c r="BQ83" s="899"/>
      <c r="BR83" s="904">
        <f t="shared" si="139"/>
        <v>0</v>
      </c>
      <c r="BS83" s="906">
        <f t="shared" si="139"/>
        <v>0</v>
      </c>
      <c r="BT83" s="874"/>
      <c r="BU83" s="884"/>
      <c r="BV83" s="899"/>
      <c r="BW83" s="899">
        <f t="shared" si="145"/>
        <v>0</v>
      </c>
      <c r="BX83" s="899">
        <f t="shared" si="145"/>
        <v>0</v>
      </c>
      <c r="BY83" s="891"/>
      <c r="BZ83" s="904"/>
      <c r="CA83" s="904">
        <f t="shared" si="140"/>
        <v>0</v>
      </c>
      <c r="CB83" s="906">
        <f t="shared" si="140"/>
        <v>0</v>
      </c>
      <c r="CC83" s="874"/>
      <c r="CD83" s="874"/>
      <c r="CE83" s="874"/>
      <c r="CF83" s="874"/>
      <c r="CG83" s="874"/>
      <c r="CH83" s="874"/>
      <c r="CI83" s="874"/>
      <c r="CJ83" s="874"/>
      <c r="CK83" s="874"/>
      <c r="CL83" s="874"/>
      <c r="CM83" s="874"/>
      <c r="CN83" s="874"/>
      <c r="CO83" s="874"/>
      <c r="CP83" s="874"/>
      <c r="CQ83" s="874"/>
      <c r="CR83" s="874"/>
      <c r="CS83" s="874"/>
      <c r="CT83" s="874"/>
      <c r="CU83" s="874"/>
      <c r="CV83" s="874"/>
      <c r="CW83" s="874"/>
      <c r="CX83" s="874"/>
      <c r="CY83" s="874"/>
      <c r="CZ83" s="874"/>
      <c r="DA83" s="874"/>
      <c r="DB83" s="874"/>
      <c r="DC83" s="874"/>
      <c r="DD83" s="874"/>
      <c r="DE83" s="874"/>
      <c r="DF83" s="874"/>
      <c r="DG83" s="874"/>
      <c r="DH83" s="874"/>
      <c r="DI83" s="874"/>
      <c r="DJ83" s="874"/>
      <c r="DK83" s="874"/>
      <c r="DL83" s="874"/>
      <c r="DM83" s="874"/>
      <c r="DN83" s="874"/>
      <c r="DO83" s="874"/>
      <c r="DP83" s="874"/>
      <c r="DQ83" s="874"/>
      <c r="DR83" s="874"/>
      <c r="DS83" s="874"/>
      <c r="DT83" s="874"/>
      <c r="DU83" s="874"/>
      <c r="DV83" s="874"/>
      <c r="DW83" s="874"/>
      <c r="DX83" s="874"/>
      <c r="DY83" s="874"/>
      <c r="DZ83" s="874"/>
      <c r="EA83" s="874"/>
    </row>
    <row r="84" spans="1:131" ht="20.25" hidden="1" outlineLevel="1">
      <c r="A84" s="897" t="s">
        <v>705</v>
      </c>
      <c r="B84" s="884"/>
      <c r="C84" s="899"/>
      <c r="D84" s="917">
        <v>0</v>
      </c>
      <c r="E84" s="917">
        <v>0</v>
      </c>
      <c r="F84" s="886">
        <f t="shared" si="130"/>
        <v>0</v>
      </c>
      <c r="G84" s="884"/>
      <c r="H84" s="899"/>
      <c r="I84" s="917">
        <v>0</v>
      </c>
      <c r="J84" s="917">
        <v>0</v>
      </c>
      <c r="K84" s="886">
        <f t="shared" si="131"/>
        <v>0</v>
      </c>
      <c r="L84" s="884"/>
      <c r="M84" s="899"/>
      <c r="N84" s="917">
        <v>0</v>
      </c>
      <c r="O84" s="917">
        <v>0</v>
      </c>
      <c r="P84" s="887">
        <f t="shared" si="132"/>
        <v>0</v>
      </c>
      <c r="Q84" s="884"/>
      <c r="R84" s="918"/>
      <c r="S84" s="919"/>
      <c r="T84" s="884"/>
      <c r="U84" s="918"/>
      <c r="V84" s="919"/>
      <c r="W84" s="884"/>
      <c r="X84" s="899"/>
      <c r="Y84" s="899">
        <f t="shared" si="141"/>
        <v>0</v>
      </c>
      <c r="Z84" s="899">
        <f t="shared" si="141"/>
        <v>0</v>
      </c>
      <c r="AA84" s="886">
        <f t="shared" si="133"/>
        <v>0</v>
      </c>
      <c r="AB84" s="884"/>
      <c r="AC84" s="899"/>
      <c r="AD84" s="918"/>
      <c r="AE84" s="918"/>
      <c r="AF84" s="886">
        <f t="shared" si="134"/>
        <v>0</v>
      </c>
      <c r="AG84" s="884"/>
      <c r="AH84" s="918"/>
      <c r="AI84" s="919"/>
      <c r="AJ84" s="884"/>
      <c r="AK84" s="918"/>
      <c r="AL84" s="919"/>
      <c r="AM84" s="884"/>
      <c r="AN84" s="918"/>
      <c r="AO84" s="919"/>
      <c r="AP84" s="884"/>
      <c r="AQ84" s="918"/>
      <c r="AR84" s="919"/>
      <c r="AS84" s="903"/>
      <c r="AT84" s="874"/>
      <c r="AU84" s="884"/>
      <c r="AV84" s="899"/>
      <c r="AW84" s="899">
        <f t="shared" si="142"/>
        <v>0</v>
      </c>
      <c r="AX84" s="899">
        <f t="shared" si="142"/>
        <v>0</v>
      </c>
      <c r="AY84" s="891"/>
      <c r="AZ84" s="904"/>
      <c r="BA84" s="904">
        <f t="shared" si="135"/>
        <v>0</v>
      </c>
      <c r="BB84" s="904">
        <f t="shared" si="135"/>
        <v>0</v>
      </c>
      <c r="BC84" s="884"/>
      <c r="BD84" s="899"/>
      <c r="BE84" s="899">
        <f t="shared" si="143"/>
        <v>0</v>
      </c>
      <c r="BF84" s="899">
        <f t="shared" si="143"/>
        <v>0</v>
      </c>
      <c r="BG84" s="891">
        <f t="shared" si="136"/>
        <v>0</v>
      </c>
      <c r="BH84" s="904">
        <f t="shared" si="137"/>
        <v>0</v>
      </c>
      <c r="BI84" s="906">
        <f t="shared" si="138"/>
        <v>0</v>
      </c>
      <c r="BJ84" s="905"/>
      <c r="BK84" s="874"/>
      <c r="BL84" s="884"/>
      <c r="BM84" s="899"/>
      <c r="BN84" s="899">
        <f t="shared" si="144"/>
        <v>0</v>
      </c>
      <c r="BO84" s="899">
        <f t="shared" si="144"/>
        <v>0</v>
      </c>
      <c r="BP84" s="884"/>
      <c r="BQ84" s="899"/>
      <c r="BR84" s="904">
        <f t="shared" si="139"/>
        <v>0</v>
      </c>
      <c r="BS84" s="906">
        <f t="shared" si="139"/>
        <v>0</v>
      </c>
      <c r="BT84" s="874"/>
      <c r="BU84" s="884"/>
      <c r="BV84" s="899"/>
      <c r="BW84" s="899">
        <f t="shared" si="145"/>
        <v>0</v>
      </c>
      <c r="BX84" s="899">
        <f t="shared" si="145"/>
        <v>0</v>
      </c>
      <c r="BY84" s="891"/>
      <c r="BZ84" s="904"/>
      <c r="CA84" s="904">
        <f t="shared" si="140"/>
        <v>0</v>
      </c>
      <c r="CB84" s="906">
        <f t="shared" si="140"/>
        <v>0</v>
      </c>
      <c r="CC84" s="874"/>
      <c r="CD84" s="874"/>
      <c r="CE84" s="874"/>
      <c r="CF84" s="874"/>
      <c r="CG84" s="874"/>
      <c r="CH84" s="874"/>
      <c r="CI84" s="874"/>
      <c r="CJ84" s="874"/>
      <c r="CK84" s="874"/>
      <c r="CL84" s="874"/>
      <c r="CM84" s="874"/>
      <c r="CN84" s="874"/>
      <c r="CO84" s="874"/>
      <c r="CP84" s="874"/>
      <c r="CQ84" s="874"/>
      <c r="CR84" s="874"/>
      <c r="CS84" s="874"/>
      <c r="CT84" s="874"/>
      <c r="CU84" s="874"/>
      <c r="CV84" s="874"/>
      <c r="CW84" s="874"/>
      <c r="CX84" s="874"/>
      <c r="CY84" s="874"/>
      <c r="CZ84" s="874"/>
      <c r="DA84" s="874"/>
      <c r="DB84" s="874"/>
      <c r="DC84" s="874"/>
      <c r="DD84" s="874"/>
      <c r="DE84" s="874"/>
      <c r="DF84" s="874"/>
      <c r="DG84" s="874"/>
      <c r="DH84" s="874"/>
      <c r="DI84" s="874"/>
      <c r="DJ84" s="874"/>
      <c r="DK84" s="874"/>
      <c r="DL84" s="874"/>
      <c r="DM84" s="874"/>
      <c r="DN84" s="874"/>
      <c r="DO84" s="874"/>
      <c r="DP84" s="874"/>
      <c r="DQ84" s="874"/>
      <c r="DR84" s="874"/>
      <c r="DS84" s="874"/>
      <c r="DT84" s="874"/>
      <c r="DU84" s="874"/>
      <c r="DV84" s="874"/>
      <c r="DW84" s="874"/>
      <c r="DX84" s="874"/>
      <c r="DY84" s="874"/>
      <c r="DZ84" s="874"/>
      <c r="EA84" s="874"/>
    </row>
    <row r="85" spans="1:131" ht="20.25" hidden="1" outlineLevel="1">
      <c r="A85" s="896" t="s">
        <v>706</v>
      </c>
      <c r="B85" s="884"/>
      <c r="C85" s="917">
        <v>0</v>
      </c>
      <c r="D85" s="899"/>
      <c r="E85" s="899"/>
      <c r="F85" s="902"/>
      <c r="G85" s="884"/>
      <c r="H85" s="917">
        <v>0</v>
      </c>
      <c r="I85" s="899"/>
      <c r="J85" s="899"/>
      <c r="K85" s="902"/>
      <c r="L85" s="884"/>
      <c r="M85" s="917">
        <v>0</v>
      </c>
      <c r="N85" s="899"/>
      <c r="O85" s="899"/>
      <c r="P85" s="907"/>
      <c r="Q85" s="920"/>
      <c r="R85" s="899"/>
      <c r="S85" s="902"/>
      <c r="T85" s="920"/>
      <c r="U85" s="899"/>
      <c r="V85" s="902"/>
      <c r="W85" s="884"/>
      <c r="X85" s="899">
        <f>M85+Q85-T85</f>
        <v>0</v>
      </c>
      <c r="Y85" s="899"/>
      <c r="Z85" s="899"/>
      <c r="AA85" s="902"/>
      <c r="AB85" s="884"/>
      <c r="AC85" s="918"/>
      <c r="AD85" s="899"/>
      <c r="AE85" s="899"/>
      <c r="AF85" s="902"/>
      <c r="AG85" s="920"/>
      <c r="AH85" s="899"/>
      <c r="AI85" s="902"/>
      <c r="AJ85" s="920"/>
      <c r="AK85" s="899"/>
      <c r="AL85" s="902"/>
      <c r="AM85" s="920"/>
      <c r="AN85" s="899"/>
      <c r="AO85" s="902"/>
      <c r="AP85" s="920"/>
      <c r="AQ85" s="899"/>
      <c r="AR85" s="902"/>
      <c r="AS85" s="903"/>
      <c r="AT85" s="874"/>
      <c r="AU85" s="884"/>
      <c r="AV85" s="899">
        <f>AC85-M85</f>
        <v>0</v>
      </c>
      <c r="AW85" s="899"/>
      <c r="AX85" s="899"/>
      <c r="AY85" s="891"/>
      <c r="AZ85" s="904">
        <f>IF(M85=0,0,AC85/M85*100)</f>
        <v>0</v>
      </c>
      <c r="BA85" s="904"/>
      <c r="BB85" s="904"/>
      <c r="BC85" s="884"/>
      <c r="BD85" s="899">
        <f>AC85-M85-AG85-AJ85-AM85-AP85</f>
        <v>0</v>
      </c>
      <c r="BE85" s="899"/>
      <c r="BF85" s="899"/>
      <c r="BG85" s="884"/>
      <c r="BH85" s="899"/>
      <c r="BI85" s="902"/>
      <c r="BJ85" s="905"/>
      <c r="BK85" s="874"/>
      <c r="BL85" s="884"/>
      <c r="BM85" s="899">
        <f>AC85-X85</f>
        <v>0</v>
      </c>
      <c r="BN85" s="899"/>
      <c r="BO85" s="899"/>
      <c r="BP85" s="884"/>
      <c r="BQ85" s="904">
        <f>IF(X85=0,0,AC85/X85*100)</f>
        <v>0</v>
      </c>
      <c r="BR85" s="899"/>
      <c r="BS85" s="902"/>
      <c r="BT85" s="874"/>
      <c r="BU85" s="884"/>
      <c r="BV85" s="899">
        <f>AC85-C85</f>
        <v>0</v>
      </c>
      <c r="BW85" s="899"/>
      <c r="BX85" s="899"/>
      <c r="BY85" s="891"/>
      <c r="BZ85" s="904">
        <f>IF(C85=0,0,AC85/C85*100)</f>
        <v>0</v>
      </c>
      <c r="CA85" s="904"/>
      <c r="CB85" s="906"/>
      <c r="CC85" s="874"/>
      <c r="CD85" s="874"/>
      <c r="CE85" s="874"/>
      <c r="CF85" s="874"/>
      <c r="CG85" s="874"/>
      <c r="CH85" s="874"/>
      <c r="CI85" s="874"/>
      <c r="CJ85" s="874"/>
      <c r="CK85" s="874"/>
      <c r="CL85" s="874"/>
      <c r="CM85" s="874"/>
      <c r="CN85" s="874"/>
      <c r="CO85" s="874"/>
      <c r="CP85" s="874"/>
      <c r="CQ85" s="874"/>
      <c r="CR85" s="874"/>
      <c r="CS85" s="874"/>
      <c r="CT85" s="874"/>
      <c r="CU85" s="874"/>
      <c r="CV85" s="874"/>
      <c r="CW85" s="874"/>
      <c r="CX85" s="874"/>
      <c r="CY85" s="874"/>
      <c r="CZ85" s="874"/>
      <c r="DA85" s="874"/>
      <c r="DB85" s="874"/>
      <c r="DC85" s="874"/>
      <c r="DD85" s="874"/>
      <c r="DE85" s="874"/>
      <c r="DF85" s="874"/>
      <c r="DG85" s="874"/>
      <c r="DH85" s="874"/>
      <c r="DI85" s="874"/>
      <c r="DJ85" s="874"/>
      <c r="DK85" s="874"/>
      <c r="DL85" s="874"/>
      <c r="DM85" s="874"/>
      <c r="DN85" s="874"/>
      <c r="DO85" s="874"/>
      <c r="DP85" s="874"/>
      <c r="DQ85" s="874"/>
      <c r="DR85" s="874"/>
      <c r="DS85" s="874"/>
      <c r="DT85" s="874"/>
      <c r="DU85" s="874"/>
      <c r="DV85" s="874"/>
      <c r="DW85" s="874"/>
      <c r="DX85" s="874"/>
      <c r="DY85" s="874"/>
      <c r="DZ85" s="874"/>
      <c r="EA85" s="874"/>
    </row>
    <row r="86" spans="1:131" ht="18" hidden="1" customHeight="1" outlineLevel="1">
      <c r="A86" s="921" t="s">
        <v>712</v>
      </c>
      <c r="B86" s="884">
        <f>C86+D86</f>
        <v>0</v>
      </c>
      <c r="C86" s="917">
        <v>0</v>
      </c>
      <c r="D86" s="899">
        <f>SUM(D87:D88,D91:D92)</f>
        <v>0</v>
      </c>
      <c r="E86" s="899">
        <f>SUM(E87:E88,E91:E92)</f>
        <v>0</v>
      </c>
      <c r="F86" s="886">
        <f t="shared" ref="F86:F92" si="146">IF(E86=0,0,ROUND(D86/E86/12,0))</f>
        <v>0</v>
      </c>
      <c r="G86" s="884">
        <f>H86+I86</f>
        <v>0</v>
      </c>
      <c r="H86" s="917">
        <v>0</v>
      </c>
      <c r="I86" s="899">
        <f>SUM(I87:I88,I91:I92)</f>
        <v>0</v>
      </c>
      <c r="J86" s="899">
        <f>SUM(J87:J88,J91:J92)</f>
        <v>0</v>
      </c>
      <c r="K86" s="886">
        <f t="shared" ref="K86:K92" si="147">IF(J86=0,0,ROUND(I86/J86/12,0))</f>
        <v>0</v>
      </c>
      <c r="L86" s="884">
        <f>M86+N86</f>
        <v>0</v>
      </c>
      <c r="M86" s="917">
        <v>0</v>
      </c>
      <c r="N86" s="899">
        <f>SUM(N87:N88,N91:N92)</f>
        <v>0</v>
      </c>
      <c r="O86" s="899">
        <f>SUM(O87:O88,O91:O92)</f>
        <v>0</v>
      </c>
      <c r="P86" s="887">
        <f t="shared" ref="P86:P92" si="148">IF(O86=0,0,ROUND(N86/O86/12,0))</f>
        <v>0</v>
      </c>
      <c r="Q86" s="920"/>
      <c r="R86" s="899">
        <f>SUM(R87:R88,R91:R92)</f>
        <v>0</v>
      </c>
      <c r="S86" s="902">
        <f>SUM(S87:S88,S91:S92)</f>
        <v>0</v>
      </c>
      <c r="T86" s="920"/>
      <c r="U86" s="899">
        <f>SUM(U87:U88,U91:U92)</f>
        <v>0</v>
      </c>
      <c r="V86" s="902">
        <f>SUM(V87:V88,V91:V92)</f>
        <v>0</v>
      </c>
      <c r="W86" s="884">
        <f>X86+Y86</f>
        <v>0</v>
      </c>
      <c r="X86" s="899">
        <f>M86+Q86-T86</f>
        <v>0</v>
      </c>
      <c r="Y86" s="899">
        <f>SUM(Y87:Y88,Y91:Y92)</f>
        <v>0</v>
      </c>
      <c r="Z86" s="899">
        <f>SUM(Z87:Z88,Z91:Z92)</f>
        <v>0</v>
      </c>
      <c r="AA86" s="886">
        <f t="shared" ref="AA86:AA92" si="149">IF(Z86=0,0,ROUND(Y86/Z86/12,0))</f>
        <v>0</v>
      </c>
      <c r="AB86" s="884">
        <f>AC86+AD86</f>
        <v>0</v>
      </c>
      <c r="AC86" s="918"/>
      <c r="AD86" s="899">
        <f>SUM(AD87:AD88,AD91:AD92)</f>
        <v>0</v>
      </c>
      <c r="AE86" s="899">
        <f>SUM(AE87:AE88,AE91:AE92)</f>
        <v>0</v>
      </c>
      <c r="AF86" s="886">
        <f t="shared" ref="AF86:AF92" si="150">IF(AE86=0,0,ROUND(AD86/AE86/12,0))</f>
        <v>0</v>
      </c>
      <c r="AG86" s="920"/>
      <c r="AH86" s="899">
        <f>SUM(AH87:AH88,AH91:AH92)</f>
        <v>0</v>
      </c>
      <c r="AI86" s="902">
        <f>SUM(AI87:AI88,AI91:AI92)</f>
        <v>0</v>
      </c>
      <c r="AJ86" s="920"/>
      <c r="AK86" s="899">
        <f>SUM(AK87:AK88,AK91:AK92)</f>
        <v>0</v>
      </c>
      <c r="AL86" s="902">
        <f>SUM(AL87:AL88,AL91:AL92)</f>
        <v>0</v>
      </c>
      <c r="AM86" s="920"/>
      <c r="AN86" s="899">
        <f>SUM(AN87:AN88,AN91:AN92)</f>
        <v>0</v>
      </c>
      <c r="AO86" s="902">
        <f>SUM(AO87:AO88,AO91:AO92)</f>
        <v>0</v>
      </c>
      <c r="AP86" s="920"/>
      <c r="AQ86" s="899">
        <f>SUM(AQ87:AQ88,AQ91:AQ92)</f>
        <v>0</v>
      </c>
      <c r="AR86" s="902">
        <f>SUM(AR87:AR88,AR91:AR92)</f>
        <v>0</v>
      </c>
      <c r="AS86" s="903"/>
      <c r="AT86" s="874"/>
      <c r="AU86" s="884">
        <f>AV86+AW86</f>
        <v>0</v>
      </c>
      <c r="AV86" s="899">
        <f>AC86-M86</f>
        <v>0</v>
      </c>
      <c r="AW86" s="899">
        <f>SUM(AW87:AW88,AW91:AW92)</f>
        <v>0</v>
      </c>
      <c r="AX86" s="899">
        <f>SUM(AX87:AX88,AX91:AX92)</f>
        <v>0</v>
      </c>
      <c r="AY86" s="891">
        <f>IF(L86=0,0,AB86/L86*100)</f>
        <v>0</v>
      </c>
      <c r="AZ86" s="904">
        <f>IF(M86=0,0,AC86/M86*100)</f>
        <v>0</v>
      </c>
      <c r="BA86" s="904">
        <f t="shared" ref="BA86:BB92" si="151">IF(N86=0,0,AD86/N86*100)</f>
        <v>0</v>
      </c>
      <c r="BB86" s="904">
        <f t="shared" si="151"/>
        <v>0</v>
      </c>
      <c r="BC86" s="884">
        <f>BD86+BE86</f>
        <v>0</v>
      </c>
      <c r="BD86" s="899">
        <f>AC86-M86-AG86-AJ86-AM86-AP86</f>
        <v>0</v>
      </c>
      <c r="BE86" s="899">
        <f>SUM(BE87:BE88,BE91:BE92)</f>
        <v>0</v>
      </c>
      <c r="BF86" s="899">
        <f>SUM(BF87:BF88,BF91:BF92)</f>
        <v>0</v>
      </c>
      <c r="BG86" s="891">
        <f t="shared" ref="BG86:BG92" si="152">IF(F86=0,0,AF86/F86*100)</f>
        <v>0</v>
      </c>
      <c r="BH86" s="904">
        <f t="shared" ref="BH86:BH92" si="153">IF(K86=0,0,AF86/K86*100)</f>
        <v>0</v>
      </c>
      <c r="BI86" s="906">
        <f t="shared" ref="BI86:BI92" si="154">IF(P86=0,0,AF86/P86*100)</f>
        <v>0</v>
      </c>
      <c r="BJ86" s="905"/>
      <c r="BK86" s="874"/>
      <c r="BL86" s="884">
        <f>BM86+BN86</f>
        <v>0</v>
      </c>
      <c r="BM86" s="899">
        <f>AC86-X86</f>
        <v>0</v>
      </c>
      <c r="BN86" s="899">
        <f>SUM(BN87:BN88,BN91:BN92)</f>
        <v>0</v>
      </c>
      <c r="BO86" s="899">
        <f>SUM(BO87:BO88,BO91:BO92)</f>
        <v>0</v>
      </c>
      <c r="BP86" s="891">
        <f>IF(W86=0,0,AB86/W86*100)</f>
        <v>0</v>
      </c>
      <c r="BQ86" s="904">
        <f>IF(X86=0,0,AC86/X86*100)</f>
        <v>0</v>
      </c>
      <c r="BR86" s="904">
        <f t="shared" ref="BR86:BS92" si="155">IF(Y86=0,0,AD86/Y86*100)</f>
        <v>0</v>
      </c>
      <c r="BS86" s="906">
        <f t="shared" si="155"/>
        <v>0</v>
      </c>
      <c r="BT86" s="874"/>
      <c r="BU86" s="884">
        <f>BV86+BW86</f>
        <v>0</v>
      </c>
      <c r="BV86" s="899">
        <f>AC86-C86</f>
        <v>0</v>
      </c>
      <c r="BW86" s="899">
        <f>SUM(BW87:BW88,BW91:BW92)</f>
        <v>0</v>
      </c>
      <c r="BX86" s="899">
        <f>SUM(BX87:BX88,BX91:BX92)</f>
        <v>0</v>
      </c>
      <c r="BY86" s="891">
        <f>IF(B86=0,0,AB86/B86*100)</f>
        <v>0</v>
      </c>
      <c r="BZ86" s="904">
        <f>IF(C86=0,0,AC86/C86*100)</f>
        <v>0</v>
      </c>
      <c r="CA86" s="904">
        <f t="shared" ref="CA86:CB92" si="156">IF(D86=0,0,AD86/D86*100)</f>
        <v>0</v>
      </c>
      <c r="CB86" s="906">
        <f t="shared" si="156"/>
        <v>0</v>
      </c>
      <c r="CC86" s="874"/>
      <c r="CD86" s="874"/>
      <c r="CE86" s="874"/>
      <c r="CF86" s="874"/>
      <c r="CG86" s="874"/>
      <c r="CH86" s="874"/>
      <c r="CI86" s="874"/>
      <c r="CJ86" s="874"/>
      <c r="CK86" s="874"/>
      <c r="CL86" s="874"/>
      <c r="CM86" s="874"/>
      <c r="CN86" s="874"/>
      <c r="CO86" s="874"/>
      <c r="CP86" s="874"/>
      <c r="CQ86" s="874"/>
      <c r="CR86" s="874"/>
      <c r="CS86" s="874"/>
      <c r="CT86" s="874"/>
      <c r="CU86" s="874"/>
      <c r="CV86" s="874"/>
      <c r="CW86" s="874"/>
      <c r="CX86" s="874"/>
      <c r="CY86" s="874"/>
      <c r="CZ86" s="874"/>
      <c r="DA86" s="874"/>
      <c r="DB86" s="874"/>
      <c r="DC86" s="874"/>
      <c r="DD86" s="874"/>
      <c r="DE86" s="874"/>
      <c r="DF86" s="874"/>
      <c r="DG86" s="874"/>
      <c r="DH86" s="874"/>
      <c r="DI86" s="874"/>
      <c r="DJ86" s="874"/>
      <c r="DK86" s="874"/>
      <c r="DL86" s="874"/>
      <c r="DM86" s="874"/>
      <c r="DN86" s="874"/>
      <c r="DO86" s="874"/>
      <c r="DP86" s="874"/>
      <c r="DQ86" s="874"/>
      <c r="DR86" s="874"/>
      <c r="DS86" s="874"/>
      <c r="DT86" s="874"/>
      <c r="DU86" s="874"/>
      <c r="DV86" s="874"/>
      <c r="DW86" s="874"/>
      <c r="DX86" s="874"/>
      <c r="DY86" s="874"/>
      <c r="DZ86" s="874"/>
      <c r="EA86" s="874"/>
    </row>
    <row r="87" spans="1:131" ht="20.25" hidden="1" outlineLevel="1">
      <c r="A87" s="883" t="s">
        <v>700</v>
      </c>
      <c r="B87" s="884"/>
      <c r="C87" s="899"/>
      <c r="D87" s="917">
        <v>0</v>
      </c>
      <c r="E87" s="917">
        <v>0</v>
      </c>
      <c r="F87" s="886">
        <f t="shared" si="146"/>
        <v>0</v>
      </c>
      <c r="G87" s="884"/>
      <c r="H87" s="899"/>
      <c r="I87" s="917">
        <v>0</v>
      </c>
      <c r="J87" s="917">
        <v>0</v>
      </c>
      <c r="K87" s="886">
        <f t="shared" si="147"/>
        <v>0</v>
      </c>
      <c r="L87" s="884"/>
      <c r="M87" s="899"/>
      <c r="N87" s="917">
        <v>0</v>
      </c>
      <c r="O87" s="917">
        <v>0</v>
      </c>
      <c r="P87" s="887">
        <f t="shared" si="148"/>
        <v>0</v>
      </c>
      <c r="Q87" s="884"/>
      <c r="R87" s="918"/>
      <c r="S87" s="919"/>
      <c r="T87" s="884"/>
      <c r="U87" s="918"/>
      <c r="V87" s="919"/>
      <c r="W87" s="884"/>
      <c r="X87" s="899"/>
      <c r="Y87" s="899">
        <f t="shared" ref="Y87:Z92" si="157">N87+R87-U87</f>
        <v>0</v>
      </c>
      <c r="Z87" s="899">
        <f t="shared" si="157"/>
        <v>0</v>
      </c>
      <c r="AA87" s="886">
        <f t="shared" si="149"/>
        <v>0</v>
      </c>
      <c r="AB87" s="884"/>
      <c r="AC87" s="899"/>
      <c r="AD87" s="918"/>
      <c r="AE87" s="918"/>
      <c r="AF87" s="886">
        <f t="shared" si="150"/>
        <v>0</v>
      </c>
      <c r="AG87" s="884"/>
      <c r="AH87" s="918"/>
      <c r="AI87" s="919"/>
      <c r="AJ87" s="884"/>
      <c r="AK87" s="918"/>
      <c r="AL87" s="919"/>
      <c r="AM87" s="884"/>
      <c r="AN87" s="918"/>
      <c r="AO87" s="919"/>
      <c r="AP87" s="884"/>
      <c r="AQ87" s="918"/>
      <c r="AR87" s="919"/>
      <c r="AS87" s="903"/>
      <c r="AT87" s="874"/>
      <c r="AU87" s="884"/>
      <c r="AV87" s="899"/>
      <c r="AW87" s="899">
        <f t="shared" ref="AW87:AX92" si="158">AD87-N87</f>
        <v>0</v>
      </c>
      <c r="AX87" s="899">
        <f t="shared" si="158"/>
        <v>0</v>
      </c>
      <c r="AY87" s="891"/>
      <c r="AZ87" s="904"/>
      <c r="BA87" s="904">
        <f t="shared" si="151"/>
        <v>0</v>
      </c>
      <c r="BB87" s="904">
        <f t="shared" si="151"/>
        <v>0</v>
      </c>
      <c r="BC87" s="884"/>
      <c r="BD87" s="899"/>
      <c r="BE87" s="899">
        <f t="shared" ref="BE87:BF92" si="159">AD87-N87-AH87-AK87-AN87-AQ87</f>
        <v>0</v>
      </c>
      <c r="BF87" s="899">
        <f t="shared" si="159"/>
        <v>0</v>
      </c>
      <c r="BG87" s="891">
        <f t="shared" si="152"/>
        <v>0</v>
      </c>
      <c r="BH87" s="904">
        <f t="shared" si="153"/>
        <v>0</v>
      </c>
      <c r="BI87" s="906">
        <f t="shared" si="154"/>
        <v>0</v>
      </c>
      <c r="BJ87" s="905"/>
      <c r="BK87" s="874"/>
      <c r="BL87" s="884"/>
      <c r="BM87" s="899"/>
      <c r="BN87" s="899">
        <f t="shared" ref="BN87:BO92" si="160">AD87-Y87</f>
        <v>0</v>
      </c>
      <c r="BO87" s="899">
        <f t="shared" si="160"/>
        <v>0</v>
      </c>
      <c r="BP87" s="884"/>
      <c r="BQ87" s="899"/>
      <c r="BR87" s="904">
        <f t="shared" si="155"/>
        <v>0</v>
      </c>
      <c r="BS87" s="906">
        <f t="shared" si="155"/>
        <v>0</v>
      </c>
      <c r="BT87" s="874"/>
      <c r="BU87" s="884"/>
      <c r="BV87" s="899"/>
      <c r="BW87" s="899">
        <f t="shared" ref="BW87:BX92" si="161">AD87-D87</f>
        <v>0</v>
      </c>
      <c r="BX87" s="899">
        <f t="shared" si="161"/>
        <v>0</v>
      </c>
      <c r="BY87" s="891"/>
      <c r="BZ87" s="904"/>
      <c r="CA87" s="904">
        <f t="shared" si="156"/>
        <v>0</v>
      </c>
      <c r="CB87" s="906">
        <f t="shared" si="156"/>
        <v>0</v>
      </c>
      <c r="CC87" s="874"/>
      <c r="CD87" s="874"/>
      <c r="CE87" s="874"/>
      <c r="CF87" s="874"/>
      <c r="CG87" s="874"/>
      <c r="CH87" s="874"/>
      <c r="CI87" s="874"/>
      <c r="CJ87" s="874"/>
      <c r="CK87" s="874"/>
      <c r="CL87" s="874"/>
      <c r="CM87" s="874"/>
      <c r="CN87" s="874"/>
      <c r="CO87" s="874"/>
      <c r="CP87" s="874"/>
      <c r="CQ87" s="874"/>
      <c r="CR87" s="874"/>
      <c r="CS87" s="874"/>
      <c r="CT87" s="874"/>
      <c r="CU87" s="874"/>
      <c r="CV87" s="874"/>
      <c r="CW87" s="874"/>
      <c r="CX87" s="874"/>
      <c r="CY87" s="874"/>
      <c r="CZ87" s="874"/>
      <c r="DA87" s="874"/>
      <c r="DB87" s="874"/>
      <c r="DC87" s="874"/>
      <c r="DD87" s="874"/>
      <c r="DE87" s="874"/>
      <c r="DF87" s="874"/>
      <c r="DG87" s="874"/>
      <c r="DH87" s="874"/>
      <c r="DI87" s="874"/>
      <c r="DJ87" s="874"/>
      <c r="DK87" s="874"/>
      <c r="DL87" s="874"/>
      <c r="DM87" s="874"/>
      <c r="DN87" s="874"/>
      <c r="DO87" s="874"/>
      <c r="DP87" s="874"/>
      <c r="DQ87" s="874"/>
      <c r="DR87" s="874"/>
      <c r="DS87" s="874"/>
      <c r="DT87" s="874"/>
      <c r="DU87" s="874"/>
      <c r="DV87" s="874"/>
      <c r="DW87" s="874"/>
      <c r="DX87" s="874"/>
      <c r="DY87" s="874"/>
      <c r="DZ87" s="874"/>
      <c r="EA87" s="874"/>
    </row>
    <row r="88" spans="1:131" ht="20.25" hidden="1" outlineLevel="1">
      <c r="A88" s="896" t="s">
        <v>701</v>
      </c>
      <c r="B88" s="884"/>
      <c r="C88" s="899"/>
      <c r="D88" s="917">
        <v>0</v>
      </c>
      <c r="E88" s="917">
        <v>0</v>
      </c>
      <c r="F88" s="886">
        <f t="shared" si="146"/>
        <v>0</v>
      </c>
      <c r="G88" s="884"/>
      <c r="H88" s="899"/>
      <c r="I88" s="917">
        <v>0</v>
      </c>
      <c r="J88" s="917">
        <v>0</v>
      </c>
      <c r="K88" s="886">
        <f t="shared" si="147"/>
        <v>0</v>
      </c>
      <c r="L88" s="884"/>
      <c r="M88" s="899"/>
      <c r="N88" s="917">
        <v>0</v>
      </c>
      <c r="O88" s="917">
        <v>0</v>
      </c>
      <c r="P88" s="887">
        <f t="shared" si="148"/>
        <v>0</v>
      </c>
      <c r="Q88" s="884"/>
      <c r="R88" s="918">
        <v>0</v>
      </c>
      <c r="S88" s="919">
        <v>0</v>
      </c>
      <c r="T88" s="884"/>
      <c r="U88" s="918">
        <v>0</v>
      </c>
      <c r="V88" s="919">
        <v>0</v>
      </c>
      <c r="W88" s="884"/>
      <c r="X88" s="899"/>
      <c r="Y88" s="899">
        <f>N88+R88-U88</f>
        <v>0</v>
      </c>
      <c r="Z88" s="899">
        <f>O88+S88-V88</f>
        <v>0</v>
      </c>
      <c r="AA88" s="886">
        <f t="shared" si="149"/>
        <v>0</v>
      </c>
      <c r="AB88" s="884"/>
      <c r="AC88" s="899"/>
      <c r="AD88" s="918">
        <v>0</v>
      </c>
      <c r="AE88" s="918">
        <v>0</v>
      </c>
      <c r="AF88" s="886">
        <f t="shared" si="150"/>
        <v>0</v>
      </c>
      <c r="AG88" s="884"/>
      <c r="AH88" s="918">
        <v>0</v>
      </c>
      <c r="AI88" s="919">
        <v>0</v>
      </c>
      <c r="AJ88" s="884"/>
      <c r="AK88" s="918">
        <v>0</v>
      </c>
      <c r="AL88" s="919">
        <v>0</v>
      </c>
      <c r="AM88" s="884"/>
      <c r="AN88" s="918">
        <v>0</v>
      </c>
      <c r="AO88" s="919">
        <v>0</v>
      </c>
      <c r="AP88" s="884"/>
      <c r="AQ88" s="918">
        <v>0</v>
      </c>
      <c r="AR88" s="919">
        <v>0</v>
      </c>
      <c r="AS88" s="903"/>
      <c r="AT88" s="874"/>
      <c r="AU88" s="884"/>
      <c r="AV88" s="899"/>
      <c r="AW88" s="899">
        <f t="shared" si="158"/>
        <v>0</v>
      </c>
      <c r="AX88" s="899">
        <f t="shared" si="158"/>
        <v>0</v>
      </c>
      <c r="AY88" s="891"/>
      <c r="AZ88" s="904"/>
      <c r="BA88" s="904">
        <f t="shared" si="151"/>
        <v>0</v>
      </c>
      <c r="BB88" s="904">
        <f t="shared" si="151"/>
        <v>0</v>
      </c>
      <c r="BC88" s="884"/>
      <c r="BD88" s="899"/>
      <c r="BE88" s="899">
        <f t="shared" si="159"/>
        <v>0</v>
      </c>
      <c r="BF88" s="899">
        <f t="shared" si="159"/>
        <v>0</v>
      </c>
      <c r="BG88" s="891">
        <f t="shared" si="152"/>
        <v>0</v>
      </c>
      <c r="BH88" s="904">
        <f t="shared" si="153"/>
        <v>0</v>
      </c>
      <c r="BI88" s="906">
        <f t="shared" si="154"/>
        <v>0</v>
      </c>
      <c r="BJ88" s="905"/>
      <c r="BK88" s="874"/>
      <c r="BL88" s="884"/>
      <c r="BM88" s="899"/>
      <c r="BN88" s="899">
        <f t="shared" si="160"/>
        <v>0</v>
      </c>
      <c r="BO88" s="899">
        <f t="shared" si="160"/>
        <v>0</v>
      </c>
      <c r="BP88" s="884"/>
      <c r="BQ88" s="899"/>
      <c r="BR88" s="904">
        <f t="shared" si="155"/>
        <v>0</v>
      </c>
      <c r="BS88" s="906">
        <f t="shared" si="155"/>
        <v>0</v>
      </c>
      <c r="BT88" s="874"/>
      <c r="BU88" s="884"/>
      <c r="BV88" s="899"/>
      <c r="BW88" s="899">
        <f t="shared" si="161"/>
        <v>0</v>
      </c>
      <c r="BX88" s="899">
        <f t="shared" si="161"/>
        <v>0</v>
      </c>
      <c r="BY88" s="891"/>
      <c r="BZ88" s="904"/>
      <c r="CA88" s="904">
        <f t="shared" si="156"/>
        <v>0</v>
      </c>
      <c r="CB88" s="906">
        <f t="shared" si="156"/>
        <v>0</v>
      </c>
      <c r="CC88" s="874"/>
      <c r="CD88" s="874"/>
      <c r="CE88" s="874"/>
      <c r="CF88" s="874"/>
      <c r="CG88" s="874"/>
      <c r="CH88" s="874"/>
      <c r="CI88" s="874"/>
      <c r="CJ88" s="874"/>
      <c r="CK88" s="874"/>
      <c r="CL88" s="874"/>
      <c r="CM88" s="874"/>
      <c r="CN88" s="874"/>
      <c r="CO88" s="874"/>
      <c r="CP88" s="874"/>
      <c r="CQ88" s="874"/>
      <c r="CR88" s="874"/>
      <c r="CS88" s="874"/>
      <c r="CT88" s="874"/>
      <c r="CU88" s="874"/>
      <c r="CV88" s="874"/>
      <c r="CW88" s="874"/>
      <c r="CX88" s="874"/>
      <c r="CY88" s="874"/>
      <c r="CZ88" s="874"/>
      <c r="DA88" s="874"/>
      <c r="DB88" s="874"/>
      <c r="DC88" s="874"/>
      <c r="DD88" s="874"/>
      <c r="DE88" s="874"/>
      <c r="DF88" s="874"/>
      <c r="DG88" s="874"/>
      <c r="DH88" s="874"/>
      <c r="DI88" s="874"/>
      <c r="DJ88" s="874"/>
      <c r="DK88" s="874"/>
      <c r="DL88" s="874"/>
      <c r="DM88" s="874"/>
      <c r="DN88" s="874"/>
      <c r="DO88" s="874"/>
      <c r="DP88" s="874"/>
      <c r="DQ88" s="874"/>
      <c r="DR88" s="874"/>
      <c r="DS88" s="874"/>
      <c r="DT88" s="874"/>
      <c r="DU88" s="874"/>
      <c r="DV88" s="874"/>
      <c r="DW88" s="874"/>
      <c r="DX88" s="874"/>
      <c r="DY88" s="874"/>
      <c r="DZ88" s="874"/>
      <c r="EA88" s="874"/>
    </row>
    <row r="89" spans="1:131" ht="20.25" hidden="1" outlineLevel="1">
      <c r="A89" s="896" t="s">
        <v>702</v>
      </c>
      <c r="B89" s="884"/>
      <c r="C89" s="899"/>
      <c r="D89" s="917">
        <v>0</v>
      </c>
      <c r="E89" s="917">
        <v>0</v>
      </c>
      <c r="F89" s="886">
        <f t="shared" si="146"/>
        <v>0</v>
      </c>
      <c r="G89" s="884"/>
      <c r="H89" s="899"/>
      <c r="I89" s="917">
        <v>0</v>
      </c>
      <c r="J89" s="917">
        <v>0</v>
      </c>
      <c r="K89" s="886">
        <f t="shared" si="147"/>
        <v>0</v>
      </c>
      <c r="L89" s="884"/>
      <c r="M89" s="899"/>
      <c r="N89" s="917">
        <v>0</v>
      </c>
      <c r="O89" s="917">
        <v>0</v>
      </c>
      <c r="P89" s="887">
        <f t="shared" si="148"/>
        <v>0</v>
      </c>
      <c r="Q89" s="884"/>
      <c r="R89" s="918"/>
      <c r="S89" s="919"/>
      <c r="T89" s="884"/>
      <c r="U89" s="918"/>
      <c r="V89" s="919"/>
      <c r="W89" s="884"/>
      <c r="X89" s="899"/>
      <c r="Y89" s="899">
        <f t="shared" si="157"/>
        <v>0</v>
      </c>
      <c r="Z89" s="899">
        <f t="shared" si="157"/>
        <v>0</v>
      </c>
      <c r="AA89" s="886">
        <f t="shared" si="149"/>
        <v>0</v>
      </c>
      <c r="AB89" s="884"/>
      <c r="AC89" s="899"/>
      <c r="AD89" s="918"/>
      <c r="AE89" s="918"/>
      <c r="AF89" s="886">
        <f t="shared" si="150"/>
        <v>0</v>
      </c>
      <c r="AG89" s="884"/>
      <c r="AH89" s="918"/>
      <c r="AI89" s="919"/>
      <c r="AJ89" s="884"/>
      <c r="AK89" s="918"/>
      <c r="AL89" s="919"/>
      <c r="AM89" s="884"/>
      <c r="AN89" s="918"/>
      <c r="AO89" s="919"/>
      <c r="AP89" s="884"/>
      <c r="AQ89" s="918"/>
      <c r="AR89" s="919"/>
      <c r="AS89" s="903"/>
      <c r="AT89" s="874"/>
      <c r="AU89" s="884"/>
      <c r="AV89" s="899"/>
      <c r="AW89" s="899">
        <f t="shared" si="158"/>
        <v>0</v>
      </c>
      <c r="AX89" s="899">
        <f t="shared" si="158"/>
        <v>0</v>
      </c>
      <c r="AY89" s="891"/>
      <c r="AZ89" s="904"/>
      <c r="BA89" s="904">
        <f t="shared" si="151"/>
        <v>0</v>
      </c>
      <c r="BB89" s="904">
        <f t="shared" si="151"/>
        <v>0</v>
      </c>
      <c r="BC89" s="884"/>
      <c r="BD89" s="899"/>
      <c r="BE89" s="899">
        <f t="shared" si="159"/>
        <v>0</v>
      </c>
      <c r="BF89" s="899">
        <f t="shared" si="159"/>
        <v>0</v>
      </c>
      <c r="BG89" s="891">
        <f t="shared" si="152"/>
        <v>0</v>
      </c>
      <c r="BH89" s="904">
        <f t="shared" si="153"/>
        <v>0</v>
      </c>
      <c r="BI89" s="906">
        <f t="shared" si="154"/>
        <v>0</v>
      </c>
      <c r="BJ89" s="905"/>
      <c r="BK89" s="874"/>
      <c r="BL89" s="884"/>
      <c r="BM89" s="899"/>
      <c r="BN89" s="899">
        <f t="shared" si="160"/>
        <v>0</v>
      </c>
      <c r="BO89" s="899">
        <f t="shared" si="160"/>
        <v>0</v>
      </c>
      <c r="BP89" s="884"/>
      <c r="BQ89" s="899"/>
      <c r="BR89" s="904">
        <f t="shared" si="155"/>
        <v>0</v>
      </c>
      <c r="BS89" s="906">
        <f t="shared" si="155"/>
        <v>0</v>
      </c>
      <c r="BT89" s="874"/>
      <c r="BU89" s="884"/>
      <c r="BV89" s="899"/>
      <c r="BW89" s="899">
        <f t="shared" si="161"/>
        <v>0</v>
      </c>
      <c r="BX89" s="899">
        <f t="shared" si="161"/>
        <v>0</v>
      </c>
      <c r="BY89" s="891"/>
      <c r="BZ89" s="904"/>
      <c r="CA89" s="904">
        <f t="shared" si="156"/>
        <v>0</v>
      </c>
      <c r="CB89" s="906">
        <f t="shared" si="156"/>
        <v>0</v>
      </c>
      <c r="CC89" s="874"/>
      <c r="CD89" s="874"/>
      <c r="CE89" s="874"/>
      <c r="CF89" s="874"/>
      <c r="CG89" s="874"/>
      <c r="CH89" s="874"/>
      <c r="CI89" s="874"/>
      <c r="CJ89" s="874"/>
      <c r="CK89" s="874"/>
      <c r="CL89" s="874"/>
      <c r="CM89" s="874"/>
      <c r="CN89" s="874"/>
      <c r="CO89" s="874"/>
      <c r="CP89" s="874"/>
      <c r="CQ89" s="874"/>
      <c r="CR89" s="874"/>
      <c r="CS89" s="874"/>
      <c r="CT89" s="874"/>
      <c r="CU89" s="874"/>
      <c r="CV89" s="874"/>
      <c r="CW89" s="874"/>
      <c r="CX89" s="874"/>
      <c r="CY89" s="874"/>
      <c r="CZ89" s="874"/>
      <c r="DA89" s="874"/>
      <c r="DB89" s="874"/>
      <c r="DC89" s="874"/>
      <c r="DD89" s="874"/>
      <c r="DE89" s="874"/>
      <c r="DF89" s="874"/>
      <c r="DG89" s="874"/>
      <c r="DH89" s="874"/>
      <c r="DI89" s="874"/>
      <c r="DJ89" s="874"/>
      <c r="DK89" s="874"/>
      <c r="DL89" s="874"/>
      <c r="DM89" s="874"/>
      <c r="DN89" s="874"/>
      <c r="DO89" s="874"/>
      <c r="DP89" s="874"/>
      <c r="DQ89" s="874"/>
      <c r="DR89" s="874"/>
      <c r="DS89" s="874"/>
      <c r="DT89" s="874"/>
      <c r="DU89" s="874"/>
      <c r="DV89" s="874"/>
      <c r="DW89" s="874"/>
      <c r="DX89" s="874"/>
      <c r="DY89" s="874"/>
      <c r="DZ89" s="874"/>
      <c r="EA89" s="874"/>
    </row>
    <row r="90" spans="1:131" ht="20.25" hidden="1" outlineLevel="1">
      <c r="A90" s="896" t="s">
        <v>703</v>
      </c>
      <c r="B90" s="884"/>
      <c r="C90" s="899"/>
      <c r="D90" s="917">
        <v>0</v>
      </c>
      <c r="E90" s="917">
        <v>0</v>
      </c>
      <c r="F90" s="886">
        <f t="shared" si="146"/>
        <v>0</v>
      </c>
      <c r="G90" s="884"/>
      <c r="H90" s="899"/>
      <c r="I90" s="917">
        <v>0</v>
      </c>
      <c r="J90" s="917">
        <v>0</v>
      </c>
      <c r="K90" s="886">
        <f t="shared" si="147"/>
        <v>0</v>
      </c>
      <c r="L90" s="884"/>
      <c r="M90" s="899"/>
      <c r="N90" s="917">
        <v>0</v>
      </c>
      <c r="O90" s="917">
        <v>0</v>
      </c>
      <c r="P90" s="887">
        <f t="shared" si="148"/>
        <v>0</v>
      </c>
      <c r="Q90" s="884"/>
      <c r="R90" s="918"/>
      <c r="S90" s="919"/>
      <c r="T90" s="884"/>
      <c r="U90" s="918"/>
      <c r="V90" s="919"/>
      <c r="W90" s="884"/>
      <c r="X90" s="899"/>
      <c r="Y90" s="899">
        <f t="shared" si="157"/>
        <v>0</v>
      </c>
      <c r="Z90" s="899">
        <f t="shared" si="157"/>
        <v>0</v>
      </c>
      <c r="AA90" s="886">
        <f t="shared" si="149"/>
        <v>0</v>
      </c>
      <c r="AB90" s="884"/>
      <c r="AC90" s="899"/>
      <c r="AD90" s="918"/>
      <c r="AE90" s="918"/>
      <c r="AF90" s="886">
        <f t="shared" si="150"/>
        <v>0</v>
      </c>
      <c r="AG90" s="884"/>
      <c r="AH90" s="918"/>
      <c r="AI90" s="919"/>
      <c r="AJ90" s="884"/>
      <c r="AK90" s="918"/>
      <c r="AL90" s="919"/>
      <c r="AM90" s="884"/>
      <c r="AN90" s="918"/>
      <c r="AO90" s="919"/>
      <c r="AP90" s="884"/>
      <c r="AQ90" s="918"/>
      <c r="AR90" s="919"/>
      <c r="AS90" s="903"/>
      <c r="AT90" s="874"/>
      <c r="AU90" s="884"/>
      <c r="AV90" s="899"/>
      <c r="AW90" s="899">
        <f t="shared" si="158"/>
        <v>0</v>
      </c>
      <c r="AX90" s="899">
        <f t="shared" si="158"/>
        <v>0</v>
      </c>
      <c r="AY90" s="891"/>
      <c r="AZ90" s="904"/>
      <c r="BA90" s="904">
        <f t="shared" si="151"/>
        <v>0</v>
      </c>
      <c r="BB90" s="904">
        <f t="shared" si="151"/>
        <v>0</v>
      </c>
      <c r="BC90" s="884"/>
      <c r="BD90" s="899"/>
      <c r="BE90" s="899">
        <f t="shared" si="159"/>
        <v>0</v>
      </c>
      <c r="BF90" s="899">
        <f t="shared" si="159"/>
        <v>0</v>
      </c>
      <c r="BG90" s="891">
        <f t="shared" si="152"/>
        <v>0</v>
      </c>
      <c r="BH90" s="904">
        <f t="shared" si="153"/>
        <v>0</v>
      </c>
      <c r="BI90" s="906">
        <f t="shared" si="154"/>
        <v>0</v>
      </c>
      <c r="BJ90" s="905"/>
      <c r="BK90" s="874"/>
      <c r="BL90" s="884"/>
      <c r="BM90" s="899"/>
      <c r="BN90" s="899">
        <f t="shared" si="160"/>
        <v>0</v>
      </c>
      <c r="BO90" s="899">
        <f t="shared" si="160"/>
        <v>0</v>
      </c>
      <c r="BP90" s="884"/>
      <c r="BQ90" s="899"/>
      <c r="BR90" s="904">
        <f t="shared" si="155"/>
        <v>0</v>
      </c>
      <c r="BS90" s="906">
        <f t="shared" si="155"/>
        <v>0</v>
      </c>
      <c r="BT90" s="874"/>
      <c r="BU90" s="884"/>
      <c r="BV90" s="899"/>
      <c r="BW90" s="899">
        <f t="shared" si="161"/>
        <v>0</v>
      </c>
      <c r="BX90" s="899">
        <f t="shared" si="161"/>
        <v>0</v>
      </c>
      <c r="BY90" s="891"/>
      <c r="BZ90" s="904"/>
      <c r="CA90" s="904">
        <f t="shared" si="156"/>
        <v>0</v>
      </c>
      <c r="CB90" s="906">
        <f t="shared" si="156"/>
        <v>0</v>
      </c>
      <c r="CC90" s="874"/>
      <c r="CD90" s="874"/>
      <c r="CE90" s="874"/>
      <c r="CF90" s="874"/>
      <c r="CG90" s="874"/>
      <c r="CH90" s="874"/>
      <c r="CI90" s="874"/>
      <c r="CJ90" s="874"/>
      <c r="CK90" s="874"/>
      <c r="CL90" s="874"/>
      <c r="CM90" s="874"/>
      <c r="CN90" s="874"/>
      <c r="CO90" s="874"/>
      <c r="CP90" s="874"/>
      <c r="CQ90" s="874"/>
      <c r="CR90" s="874"/>
      <c r="CS90" s="874"/>
      <c r="CT90" s="874"/>
      <c r="CU90" s="874"/>
      <c r="CV90" s="874"/>
      <c r="CW90" s="874"/>
      <c r="CX90" s="874"/>
      <c r="CY90" s="874"/>
      <c r="CZ90" s="874"/>
      <c r="DA90" s="874"/>
      <c r="DB90" s="874"/>
      <c r="DC90" s="874"/>
      <c r="DD90" s="874"/>
      <c r="DE90" s="874"/>
      <c r="DF90" s="874"/>
      <c r="DG90" s="874"/>
      <c r="DH90" s="874"/>
      <c r="DI90" s="874"/>
      <c r="DJ90" s="874"/>
      <c r="DK90" s="874"/>
      <c r="DL90" s="874"/>
      <c r="DM90" s="874"/>
      <c r="DN90" s="874"/>
      <c r="DO90" s="874"/>
      <c r="DP90" s="874"/>
      <c r="DQ90" s="874"/>
      <c r="DR90" s="874"/>
      <c r="DS90" s="874"/>
      <c r="DT90" s="874"/>
      <c r="DU90" s="874"/>
      <c r="DV90" s="874"/>
      <c r="DW90" s="874"/>
      <c r="DX90" s="874"/>
      <c r="DY90" s="874"/>
      <c r="DZ90" s="874"/>
      <c r="EA90" s="874"/>
    </row>
    <row r="91" spans="1:131" ht="20.25" hidden="1" outlineLevel="1">
      <c r="A91" s="896" t="s">
        <v>704</v>
      </c>
      <c r="B91" s="884"/>
      <c r="C91" s="899"/>
      <c r="D91" s="917">
        <v>0</v>
      </c>
      <c r="E91" s="917">
        <v>0</v>
      </c>
      <c r="F91" s="886">
        <f t="shared" si="146"/>
        <v>0</v>
      </c>
      <c r="G91" s="884"/>
      <c r="H91" s="899"/>
      <c r="I91" s="917">
        <v>0</v>
      </c>
      <c r="J91" s="917">
        <v>0</v>
      </c>
      <c r="K91" s="886">
        <f t="shared" si="147"/>
        <v>0</v>
      </c>
      <c r="L91" s="884"/>
      <c r="M91" s="899"/>
      <c r="N91" s="917">
        <v>0</v>
      </c>
      <c r="O91" s="917">
        <v>0</v>
      </c>
      <c r="P91" s="887">
        <f t="shared" si="148"/>
        <v>0</v>
      </c>
      <c r="Q91" s="884"/>
      <c r="R91" s="918"/>
      <c r="S91" s="919"/>
      <c r="T91" s="884"/>
      <c r="U91" s="918"/>
      <c r="V91" s="919"/>
      <c r="W91" s="884"/>
      <c r="X91" s="899"/>
      <c r="Y91" s="899">
        <f t="shared" si="157"/>
        <v>0</v>
      </c>
      <c r="Z91" s="899">
        <f t="shared" si="157"/>
        <v>0</v>
      </c>
      <c r="AA91" s="886">
        <f t="shared" si="149"/>
        <v>0</v>
      </c>
      <c r="AB91" s="884"/>
      <c r="AC91" s="899"/>
      <c r="AD91" s="918"/>
      <c r="AE91" s="918"/>
      <c r="AF91" s="886">
        <f t="shared" si="150"/>
        <v>0</v>
      </c>
      <c r="AG91" s="884"/>
      <c r="AH91" s="918"/>
      <c r="AI91" s="919"/>
      <c r="AJ91" s="884"/>
      <c r="AK91" s="918"/>
      <c r="AL91" s="919"/>
      <c r="AM91" s="884"/>
      <c r="AN91" s="918"/>
      <c r="AO91" s="919"/>
      <c r="AP91" s="884"/>
      <c r="AQ91" s="918"/>
      <c r="AR91" s="919"/>
      <c r="AS91" s="903"/>
      <c r="AT91" s="874"/>
      <c r="AU91" s="884"/>
      <c r="AV91" s="899"/>
      <c r="AW91" s="899">
        <f t="shared" si="158"/>
        <v>0</v>
      </c>
      <c r="AX91" s="899">
        <f t="shared" si="158"/>
        <v>0</v>
      </c>
      <c r="AY91" s="891"/>
      <c r="AZ91" s="904"/>
      <c r="BA91" s="904">
        <f t="shared" si="151"/>
        <v>0</v>
      </c>
      <c r="BB91" s="904">
        <f t="shared" si="151"/>
        <v>0</v>
      </c>
      <c r="BC91" s="884"/>
      <c r="BD91" s="899"/>
      <c r="BE91" s="899">
        <f t="shared" si="159"/>
        <v>0</v>
      </c>
      <c r="BF91" s="899">
        <f t="shared" si="159"/>
        <v>0</v>
      </c>
      <c r="BG91" s="891">
        <f t="shared" si="152"/>
        <v>0</v>
      </c>
      <c r="BH91" s="904">
        <f t="shared" si="153"/>
        <v>0</v>
      </c>
      <c r="BI91" s="906">
        <f t="shared" si="154"/>
        <v>0</v>
      </c>
      <c r="BJ91" s="905"/>
      <c r="BK91" s="874"/>
      <c r="BL91" s="884"/>
      <c r="BM91" s="899"/>
      <c r="BN91" s="899">
        <f t="shared" si="160"/>
        <v>0</v>
      </c>
      <c r="BO91" s="899">
        <f t="shared" si="160"/>
        <v>0</v>
      </c>
      <c r="BP91" s="884"/>
      <c r="BQ91" s="899"/>
      <c r="BR91" s="904">
        <f t="shared" si="155"/>
        <v>0</v>
      </c>
      <c r="BS91" s="906">
        <f t="shared" si="155"/>
        <v>0</v>
      </c>
      <c r="BT91" s="874"/>
      <c r="BU91" s="884"/>
      <c r="BV91" s="899"/>
      <c r="BW91" s="899">
        <f t="shared" si="161"/>
        <v>0</v>
      </c>
      <c r="BX91" s="899">
        <f t="shared" si="161"/>
        <v>0</v>
      </c>
      <c r="BY91" s="891"/>
      <c r="BZ91" s="904"/>
      <c r="CA91" s="904">
        <f t="shared" si="156"/>
        <v>0</v>
      </c>
      <c r="CB91" s="906">
        <f t="shared" si="156"/>
        <v>0</v>
      </c>
      <c r="CC91" s="874"/>
      <c r="CD91" s="874"/>
      <c r="CE91" s="874"/>
      <c r="CF91" s="874"/>
      <c r="CG91" s="874"/>
      <c r="CH91" s="874"/>
      <c r="CI91" s="874"/>
      <c r="CJ91" s="874"/>
      <c r="CK91" s="874"/>
      <c r="CL91" s="874"/>
      <c r="CM91" s="874"/>
      <c r="CN91" s="874"/>
      <c r="CO91" s="874"/>
      <c r="CP91" s="874"/>
      <c r="CQ91" s="874"/>
      <c r="CR91" s="874"/>
      <c r="CS91" s="874"/>
      <c r="CT91" s="874"/>
      <c r="CU91" s="874"/>
      <c r="CV91" s="874"/>
      <c r="CW91" s="874"/>
      <c r="CX91" s="874"/>
      <c r="CY91" s="874"/>
      <c r="CZ91" s="874"/>
      <c r="DA91" s="874"/>
      <c r="DB91" s="874"/>
      <c r="DC91" s="874"/>
      <c r="DD91" s="874"/>
      <c r="DE91" s="874"/>
      <c r="DF91" s="874"/>
      <c r="DG91" s="874"/>
      <c r="DH91" s="874"/>
      <c r="DI91" s="874"/>
      <c r="DJ91" s="874"/>
      <c r="DK91" s="874"/>
      <c r="DL91" s="874"/>
      <c r="DM91" s="874"/>
      <c r="DN91" s="874"/>
      <c r="DO91" s="874"/>
      <c r="DP91" s="874"/>
      <c r="DQ91" s="874"/>
      <c r="DR91" s="874"/>
      <c r="DS91" s="874"/>
      <c r="DT91" s="874"/>
      <c r="DU91" s="874"/>
      <c r="DV91" s="874"/>
      <c r="DW91" s="874"/>
      <c r="DX91" s="874"/>
      <c r="DY91" s="874"/>
      <c r="DZ91" s="874"/>
      <c r="EA91" s="874"/>
    </row>
    <row r="92" spans="1:131" ht="20.25" hidden="1" outlineLevel="1">
      <c r="A92" s="897" t="s">
        <v>705</v>
      </c>
      <c r="B92" s="884"/>
      <c r="C92" s="899"/>
      <c r="D92" s="917">
        <v>0</v>
      </c>
      <c r="E92" s="917">
        <v>0</v>
      </c>
      <c r="F92" s="886">
        <f t="shared" si="146"/>
        <v>0</v>
      </c>
      <c r="G92" s="884"/>
      <c r="H92" s="899"/>
      <c r="I92" s="917">
        <v>0</v>
      </c>
      <c r="J92" s="917">
        <v>0</v>
      </c>
      <c r="K92" s="886">
        <f t="shared" si="147"/>
        <v>0</v>
      </c>
      <c r="L92" s="884"/>
      <c r="M92" s="899"/>
      <c r="N92" s="917">
        <v>0</v>
      </c>
      <c r="O92" s="917">
        <v>0</v>
      </c>
      <c r="P92" s="887">
        <f t="shared" si="148"/>
        <v>0</v>
      </c>
      <c r="Q92" s="884"/>
      <c r="R92" s="918"/>
      <c r="S92" s="919"/>
      <c r="T92" s="884"/>
      <c r="U92" s="918"/>
      <c r="V92" s="919"/>
      <c r="W92" s="884"/>
      <c r="X92" s="899"/>
      <c r="Y92" s="899">
        <f t="shared" si="157"/>
        <v>0</v>
      </c>
      <c r="Z92" s="899">
        <f t="shared" si="157"/>
        <v>0</v>
      </c>
      <c r="AA92" s="886">
        <f t="shared" si="149"/>
        <v>0</v>
      </c>
      <c r="AB92" s="884"/>
      <c r="AC92" s="899"/>
      <c r="AD92" s="918"/>
      <c r="AE92" s="918"/>
      <c r="AF92" s="886">
        <f t="shared" si="150"/>
        <v>0</v>
      </c>
      <c r="AG92" s="884"/>
      <c r="AH92" s="918"/>
      <c r="AI92" s="919"/>
      <c r="AJ92" s="884"/>
      <c r="AK92" s="918"/>
      <c r="AL92" s="919"/>
      <c r="AM92" s="884"/>
      <c r="AN92" s="918"/>
      <c r="AO92" s="919"/>
      <c r="AP92" s="884"/>
      <c r="AQ92" s="918"/>
      <c r="AR92" s="919"/>
      <c r="AS92" s="903"/>
      <c r="AT92" s="874"/>
      <c r="AU92" s="884"/>
      <c r="AV92" s="899"/>
      <c r="AW92" s="899">
        <f t="shared" si="158"/>
        <v>0</v>
      </c>
      <c r="AX92" s="899">
        <f t="shared" si="158"/>
        <v>0</v>
      </c>
      <c r="AY92" s="891"/>
      <c r="AZ92" s="904"/>
      <c r="BA92" s="904">
        <f t="shared" si="151"/>
        <v>0</v>
      </c>
      <c r="BB92" s="904">
        <f t="shared" si="151"/>
        <v>0</v>
      </c>
      <c r="BC92" s="884"/>
      <c r="BD92" s="899"/>
      <c r="BE92" s="899">
        <f t="shared" si="159"/>
        <v>0</v>
      </c>
      <c r="BF92" s="899">
        <f t="shared" si="159"/>
        <v>0</v>
      </c>
      <c r="BG92" s="891">
        <f t="shared" si="152"/>
        <v>0</v>
      </c>
      <c r="BH92" s="904">
        <f t="shared" si="153"/>
        <v>0</v>
      </c>
      <c r="BI92" s="906">
        <f t="shared" si="154"/>
        <v>0</v>
      </c>
      <c r="BJ92" s="905"/>
      <c r="BK92" s="874"/>
      <c r="BL92" s="884"/>
      <c r="BM92" s="899"/>
      <c r="BN92" s="899">
        <f t="shared" si="160"/>
        <v>0</v>
      </c>
      <c r="BO92" s="899">
        <f t="shared" si="160"/>
        <v>0</v>
      </c>
      <c r="BP92" s="884"/>
      <c r="BQ92" s="899"/>
      <c r="BR92" s="904">
        <f t="shared" si="155"/>
        <v>0</v>
      </c>
      <c r="BS92" s="906">
        <f t="shared" si="155"/>
        <v>0</v>
      </c>
      <c r="BT92" s="874"/>
      <c r="BU92" s="884"/>
      <c r="BV92" s="899"/>
      <c r="BW92" s="899">
        <f t="shared" si="161"/>
        <v>0</v>
      </c>
      <c r="BX92" s="899">
        <f t="shared" si="161"/>
        <v>0</v>
      </c>
      <c r="BY92" s="891"/>
      <c r="BZ92" s="904"/>
      <c r="CA92" s="904">
        <f t="shared" si="156"/>
        <v>0</v>
      </c>
      <c r="CB92" s="906">
        <f t="shared" si="156"/>
        <v>0</v>
      </c>
      <c r="CC92" s="874"/>
      <c r="CD92" s="874"/>
      <c r="CE92" s="874"/>
      <c r="CF92" s="874"/>
      <c r="CG92" s="874"/>
      <c r="CH92" s="874"/>
      <c r="CI92" s="874"/>
      <c r="CJ92" s="874"/>
      <c r="CK92" s="874"/>
      <c r="CL92" s="874"/>
      <c r="CM92" s="874"/>
      <c r="CN92" s="874"/>
      <c r="CO92" s="874"/>
      <c r="CP92" s="874"/>
      <c r="CQ92" s="874"/>
      <c r="CR92" s="874"/>
      <c r="CS92" s="874"/>
      <c r="CT92" s="874"/>
      <c r="CU92" s="874"/>
      <c r="CV92" s="874"/>
      <c r="CW92" s="874"/>
      <c r="CX92" s="874"/>
      <c r="CY92" s="874"/>
      <c r="CZ92" s="874"/>
      <c r="DA92" s="874"/>
      <c r="DB92" s="874"/>
      <c r="DC92" s="874"/>
      <c r="DD92" s="874"/>
      <c r="DE92" s="874"/>
      <c r="DF92" s="874"/>
      <c r="DG92" s="874"/>
      <c r="DH92" s="874"/>
      <c r="DI92" s="874"/>
      <c r="DJ92" s="874"/>
      <c r="DK92" s="874"/>
      <c r="DL92" s="874"/>
      <c r="DM92" s="874"/>
      <c r="DN92" s="874"/>
      <c r="DO92" s="874"/>
      <c r="DP92" s="874"/>
      <c r="DQ92" s="874"/>
      <c r="DR92" s="874"/>
      <c r="DS92" s="874"/>
      <c r="DT92" s="874"/>
      <c r="DU92" s="874"/>
      <c r="DV92" s="874"/>
      <c r="DW92" s="874"/>
      <c r="DX92" s="874"/>
      <c r="DY92" s="874"/>
      <c r="DZ92" s="874"/>
      <c r="EA92" s="874"/>
    </row>
    <row r="93" spans="1:131" ht="20.25" hidden="1" outlineLevel="1">
      <c r="A93" s="896" t="s">
        <v>706</v>
      </c>
      <c r="B93" s="884"/>
      <c r="C93" s="917">
        <v>0</v>
      </c>
      <c r="D93" s="899"/>
      <c r="E93" s="899"/>
      <c r="F93" s="902"/>
      <c r="G93" s="884"/>
      <c r="H93" s="917">
        <v>0</v>
      </c>
      <c r="I93" s="899"/>
      <c r="J93" s="899"/>
      <c r="K93" s="902"/>
      <c r="L93" s="884"/>
      <c r="M93" s="917">
        <v>0</v>
      </c>
      <c r="N93" s="899"/>
      <c r="O93" s="899"/>
      <c r="P93" s="907"/>
      <c r="Q93" s="920"/>
      <c r="R93" s="899"/>
      <c r="S93" s="902"/>
      <c r="T93" s="920"/>
      <c r="U93" s="899"/>
      <c r="V93" s="902"/>
      <c r="W93" s="884"/>
      <c r="X93" s="899">
        <f>M93+Q93-T93</f>
        <v>0</v>
      </c>
      <c r="Y93" s="899"/>
      <c r="Z93" s="899"/>
      <c r="AA93" s="902"/>
      <c r="AB93" s="884"/>
      <c r="AC93" s="918"/>
      <c r="AD93" s="899"/>
      <c r="AE93" s="899"/>
      <c r="AF93" s="902"/>
      <c r="AG93" s="920"/>
      <c r="AH93" s="899"/>
      <c r="AI93" s="902"/>
      <c r="AJ93" s="920"/>
      <c r="AK93" s="899"/>
      <c r="AL93" s="902"/>
      <c r="AM93" s="920"/>
      <c r="AN93" s="899"/>
      <c r="AO93" s="902"/>
      <c r="AP93" s="920"/>
      <c r="AQ93" s="899"/>
      <c r="AR93" s="902"/>
      <c r="AS93" s="903"/>
      <c r="AT93" s="874"/>
      <c r="AU93" s="884"/>
      <c r="AV93" s="899">
        <f>AC93-M93</f>
        <v>0</v>
      </c>
      <c r="AW93" s="899"/>
      <c r="AX93" s="899"/>
      <c r="AY93" s="891"/>
      <c r="AZ93" s="904">
        <f>IF(M93=0,0,AC93/M93*100)</f>
        <v>0</v>
      </c>
      <c r="BA93" s="904"/>
      <c r="BB93" s="904"/>
      <c r="BC93" s="884"/>
      <c r="BD93" s="899">
        <f>AC93-M93-AG93-AJ93-AM93-AP93</f>
        <v>0</v>
      </c>
      <c r="BE93" s="899"/>
      <c r="BF93" s="899"/>
      <c r="BG93" s="884"/>
      <c r="BH93" s="899"/>
      <c r="BI93" s="902"/>
      <c r="BJ93" s="905"/>
      <c r="BK93" s="874"/>
      <c r="BL93" s="884"/>
      <c r="BM93" s="899">
        <f>AC93-X93</f>
        <v>0</v>
      </c>
      <c r="BN93" s="899"/>
      <c r="BO93" s="899"/>
      <c r="BP93" s="884"/>
      <c r="BQ93" s="904">
        <f>IF(X93=0,0,AC93/X93*100)</f>
        <v>0</v>
      </c>
      <c r="BR93" s="899"/>
      <c r="BS93" s="902"/>
      <c r="BT93" s="874"/>
      <c r="BU93" s="884"/>
      <c r="BV93" s="899">
        <f>AC93-C93</f>
        <v>0</v>
      </c>
      <c r="BW93" s="899"/>
      <c r="BX93" s="899"/>
      <c r="BY93" s="891"/>
      <c r="BZ93" s="904">
        <f>IF(C93=0,0,AC93/C93*100)</f>
        <v>0</v>
      </c>
      <c r="CA93" s="904"/>
      <c r="CB93" s="906"/>
      <c r="CC93" s="874"/>
      <c r="CD93" s="874"/>
      <c r="CE93" s="874"/>
      <c r="CF93" s="874"/>
      <c r="CG93" s="874"/>
      <c r="CH93" s="874"/>
      <c r="CI93" s="874"/>
      <c r="CJ93" s="874"/>
      <c r="CK93" s="874"/>
      <c r="CL93" s="874"/>
      <c r="CM93" s="874"/>
      <c r="CN93" s="874"/>
      <c r="CO93" s="874"/>
      <c r="CP93" s="874"/>
      <c r="CQ93" s="874"/>
      <c r="CR93" s="874"/>
      <c r="CS93" s="874"/>
      <c r="CT93" s="874"/>
      <c r="CU93" s="874"/>
      <c r="CV93" s="874"/>
      <c r="CW93" s="874"/>
      <c r="CX93" s="874"/>
      <c r="CY93" s="874"/>
      <c r="CZ93" s="874"/>
      <c r="DA93" s="874"/>
      <c r="DB93" s="874"/>
      <c r="DC93" s="874"/>
      <c r="DD93" s="874"/>
      <c r="DE93" s="874"/>
      <c r="DF93" s="874"/>
      <c r="DG93" s="874"/>
      <c r="DH93" s="874"/>
      <c r="DI93" s="874"/>
      <c r="DJ93" s="874"/>
      <c r="DK93" s="874"/>
      <c r="DL93" s="874"/>
      <c r="DM93" s="874"/>
      <c r="DN93" s="874"/>
      <c r="DO93" s="874"/>
      <c r="DP93" s="874"/>
      <c r="DQ93" s="874"/>
      <c r="DR93" s="874"/>
      <c r="DS93" s="874"/>
      <c r="DT93" s="874"/>
      <c r="DU93" s="874"/>
      <c r="DV93" s="874"/>
      <c r="DW93" s="874"/>
      <c r="DX93" s="874"/>
      <c r="DY93" s="874"/>
      <c r="DZ93" s="874"/>
      <c r="EA93" s="874"/>
    </row>
    <row r="94" spans="1:131" ht="18" hidden="1" customHeight="1" outlineLevel="1">
      <c r="A94" s="921" t="s">
        <v>712</v>
      </c>
      <c r="B94" s="884">
        <f>C94+D94</f>
        <v>0</v>
      </c>
      <c r="C94" s="917">
        <v>0</v>
      </c>
      <c r="D94" s="899">
        <f>SUM(D95:D96,D99:D100)</f>
        <v>0</v>
      </c>
      <c r="E94" s="899">
        <f>SUM(E95:E96,E99:E100)</f>
        <v>0</v>
      </c>
      <c r="F94" s="886">
        <f t="shared" ref="F94:F100" si="162">IF(E94=0,0,ROUND(D94/E94/12,0))</f>
        <v>0</v>
      </c>
      <c r="G94" s="884">
        <f>H94+I94</f>
        <v>0</v>
      </c>
      <c r="H94" s="917">
        <v>0</v>
      </c>
      <c r="I94" s="899">
        <f>SUM(I95:I96,I99:I100)</f>
        <v>0</v>
      </c>
      <c r="J94" s="899">
        <f>SUM(J95:J96,J99:J100)</f>
        <v>0</v>
      </c>
      <c r="K94" s="886">
        <f t="shared" ref="K94:K100" si="163">IF(J94=0,0,ROUND(I94/J94/12,0))</f>
        <v>0</v>
      </c>
      <c r="L94" s="884">
        <f>M94+N94</f>
        <v>0</v>
      </c>
      <c r="M94" s="917">
        <v>0</v>
      </c>
      <c r="N94" s="899">
        <f>SUM(N95:N96,N99:N100)</f>
        <v>0</v>
      </c>
      <c r="O94" s="899">
        <f>SUM(O95:O96,O99:O100)</f>
        <v>0</v>
      </c>
      <c r="P94" s="887">
        <f t="shared" ref="P94:P100" si="164">IF(O94=0,0,ROUND(N94/O94/12,0))</f>
        <v>0</v>
      </c>
      <c r="Q94" s="920"/>
      <c r="R94" s="899">
        <f>SUM(R95:R96,R99:R100)</f>
        <v>0</v>
      </c>
      <c r="S94" s="902">
        <f>SUM(S95:S96,S99:S100)</f>
        <v>0</v>
      </c>
      <c r="T94" s="920"/>
      <c r="U94" s="899">
        <f>SUM(U95:U96,U99:U100)</f>
        <v>0</v>
      </c>
      <c r="V94" s="902">
        <f>SUM(V95:V96,V99:V100)</f>
        <v>0</v>
      </c>
      <c r="W94" s="884">
        <f>X94+Y94</f>
        <v>0</v>
      </c>
      <c r="X94" s="899">
        <f>M94+Q94-T94</f>
        <v>0</v>
      </c>
      <c r="Y94" s="899">
        <f>SUM(Y95:Y96,Y99:Y100)</f>
        <v>0</v>
      </c>
      <c r="Z94" s="899">
        <f>SUM(Z95:Z96,Z99:Z100)</f>
        <v>0</v>
      </c>
      <c r="AA94" s="886">
        <f t="shared" ref="AA94:AA100" si="165">IF(Z94=0,0,ROUND(Y94/Z94/12,0))</f>
        <v>0</v>
      </c>
      <c r="AB94" s="884">
        <f>AC94+AD94</f>
        <v>0</v>
      </c>
      <c r="AC94" s="918"/>
      <c r="AD94" s="899">
        <f>SUM(AD95:AD96,AD99:AD100)</f>
        <v>0</v>
      </c>
      <c r="AE94" s="899">
        <f>SUM(AE95:AE96,AE99:AE100)</f>
        <v>0</v>
      </c>
      <c r="AF94" s="886">
        <f t="shared" ref="AF94:AF100" si="166">IF(AE94=0,0,ROUND(AD94/AE94/12,0))</f>
        <v>0</v>
      </c>
      <c r="AG94" s="920"/>
      <c r="AH94" s="899">
        <f>SUM(AH95:AH96,AH99:AH100)</f>
        <v>0</v>
      </c>
      <c r="AI94" s="902">
        <f>SUM(AI95:AI96,AI99:AI100)</f>
        <v>0</v>
      </c>
      <c r="AJ94" s="920"/>
      <c r="AK94" s="899">
        <f>SUM(AK95:AK96,AK99:AK100)</f>
        <v>0</v>
      </c>
      <c r="AL94" s="902">
        <f>SUM(AL95:AL96,AL99:AL100)</f>
        <v>0</v>
      </c>
      <c r="AM94" s="920"/>
      <c r="AN94" s="899">
        <f>SUM(AN95:AN96,AN99:AN100)</f>
        <v>0</v>
      </c>
      <c r="AO94" s="902">
        <f>SUM(AO95:AO96,AO99:AO100)</f>
        <v>0</v>
      </c>
      <c r="AP94" s="920"/>
      <c r="AQ94" s="899">
        <f>SUM(AQ95:AQ96,AQ99:AQ100)</f>
        <v>0</v>
      </c>
      <c r="AR94" s="902">
        <f>SUM(AR95:AR96,AR99:AR100)</f>
        <v>0</v>
      </c>
      <c r="AS94" s="903"/>
      <c r="AT94" s="874"/>
      <c r="AU94" s="884">
        <f>AV94+AW94</f>
        <v>0</v>
      </c>
      <c r="AV94" s="899">
        <f>AC94-M94</f>
        <v>0</v>
      </c>
      <c r="AW94" s="899">
        <f>SUM(AW95:AW96,AW99:AW100)</f>
        <v>0</v>
      </c>
      <c r="AX94" s="899">
        <f>SUM(AX95:AX96,AX99:AX100)</f>
        <v>0</v>
      </c>
      <c r="AY94" s="891">
        <f>IF(L94=0,0,AB94/L94*100)</f>
        <v>0</v>
      </c>
      <c r="AZ94" s="904">
        <f>IF(M94=0,0,AC94/M94*100)</f>
        <v>0</v>
      </c>
      <c r="BA94" s="904">
        <f t="shared" ref="BA94:BB100" si="167">IF(N94=0,0,AD94/N94*100)</f>
        <v>0</v>
      </c>
      <c r="BB94" s="904">
        <f t="shared" si="167"/>
        <v>0</v>
      </c>
      <c r="BC94" s="884">
        <f>BD94+BE94</f>
        <v>0</v>
      </c>
      <c r="BD94" s="899">
        <f>AC94-M94-AG94-AJ94-AM94-AP94</f>
        <v>0</v>
      </c>
      <c r="BE94" s="899">
        <f>SUM(BE95:BE96,BE99:BE100)</f>
        <v>0</v>
      </c>
      <c r="BF94" s="899">
        <f>SUM(BF95:BF96,BF99:BF100)</f>
        <v>0</v>
      </c>
      <c r="BG94" s="891">
        <f t="shared" ref="BG94:BG100" si="168">IF(F94=0,0,AF94/F94*100)</f>
        <v>0</v>
      </c>
      <c r="BH94" s="904">
        <f t="shared" ref="BH94:BH100" si="169">IF(K94=0,0,AF94/K94*100)</f>
        <v>0</v>
      </c>
      <c r="BI94" s="906">
        <f t="shared" ref="BI94:BI100" si="170">IF(P94=0,0,AF94/P94*100)</f>
        <v>0</v>
      </c>
      <c r="BJ94" s="905"/>
      <c r="BK94" s="874"/>
      <c r="BL94" s="884">
        <f>BM94+BN94</f>
        <v>0</v>
      </c>
      <c r="BM94" s="899">
        <f>AC94-X94</f>
        <v>0</v>
      </c>
      <c r="BN94" s="899">
        <f>SUM(BN95:BN96,BN99:BN100)</f>
        <v>0</v>
      </c>
      <c r="BO94" s="899">
        <f>SUM(BO95:BO96,BO99:BO100)</f>
        <v>0</v>
      </c>
      <c r="BP94" s="891">
        <f>IF(W94=0,0,AB94/W94*100)</f>
        <v>0</v>
      </c>
      <c r="BQ94" s="904">
        <f>IF(X94=0,0,AC94/X94*100)</f>
        <v>0</v>
      </c>
      <c r="BR94" s="904">
        <f t="shared" ref="BR94:BS100" si="171">IF(Y94=0,0,AD94/Y94*100)</f>
        <v>0</v>
      </c>
      <c r="BS94" s="906">
        <f t="shared" si="171"/>
        <v>0</v>
      </c>
      <c r="BT94" s="874"/>
      <c r="BU94" s="884">
        <f>BV94+BW94</f>
        <v>0</v>
      </c>
      <c r="BV94" s="899">
        <f>AC94-C94</f>
        <v>0</v>
      </c>
      <c r="BW94" s="899">
        <f>SUM(BW95:BW96,BW99:BW100)</f>
        <v>0</v>
      </c>
      <c r="BX94" s="899">
        <f>SUM(BX95:BX96,BX99:BX100)</f>
        <v>0</v>
      </c>
      <c r="BY94" s="891">
        <f>IF(B94=0,0,AB94/B94*100)</f>
        <v>0</v>
      </c>
      <c r="BZ94" s="904">
        <f>IF(C94=0,0,AC94/C94*100)</f>
        <v>0</v>
      </c>
      <c r="CA94" s="904">
        <f t="shared" ref="CA94:CB100" si="172">IF(D94=0,0,AD94/D94*100)</f>
        <v>0</v>
      </c>
      <c r="CB94" s="906">
        <f t="shared" si="172"/>
        <v>0</v>
      </c>
      <c r="CC94" s="874"/>
      <c r="CD94" s="874"/>
      <c r="CE94" s="874"/>
      <c r="CF94" s="874"/>
      <c r="CG94" s="874"/>
      <c r="CH94" s="874"/>
      <c r="CI94" s="874"/>
      <c r="CJ94" s="874"/>
      <c r="CK94" s="874"/>
      <c r="CL94" s="874"/>
      <c r="CM94" s="874"/>
      <c r="CN94" s="874"/>
      <c r="CO94" s="874"/>
      <c r="CP94" s="874"/>
      <c r="CQ94" s="874"/>
      <c r="CR94" s="874"/>
      <c r="CS94" s="874"/>
      <c r="CT94" s="874"/>
      <c r="CU94" s="874"/>
      <c r="CV94" s="874"/>
      <c r="CW94" s="874"/>
      <c r="CX94" s="874"/>
      <c r="CY94" s="874"/>
      <c r="CZ94" s="874"/>
      <c r="DA94" s="874"/>
      <c r="DB94" s="874"/>
      <c r="DC94" s="874"/>
      <c r="DD94" s="874"/>
      <c r="DE94" s="874"/>
      <c r="DF94" s="874"/>
      <c r="DG94" s="874"/>
      <c r="DH94" s="874"/>
      <c r="DI94" s="874"/>
      <c r="DJ94" s="874"/>
      <c r="DK94" s="874"/>
      <c r="DL94" s="874"/>
      <c r="DM94" s="874"/>
      <c r="DN94" s="874"/>
      <c r="DO94" s="874"/>
      <c r="DP94" s="874"/>
      <c r="DQ94" s="874"/>
      <c r="DR94" s="874"/>
      <c r="DS94" s="874"/>
      <c r="DT94" s="874"/>
      <c r="DU94" s="874"/>
      <c r="DV94" s="874"/>
      <c r="DW94" s="874"/>
      <c r="DX94" s="874"/>
      <c r="DY94" s="874"/>
      <c r="DZ94" s="874"/>
      <c r="EA94" s="874"/>
    </row>
    <row r="95" spans="1:131" ht="20.25" hidden="1" outlineLevel="1">
      <c r="A95" s="883" t="s">
        <v>700</v>
      </c>
      <c r="B95" s="884"/>
      <c r="C95" s="899"/>
      <c r="D95" s="917">
        <v>0</v>
      </c>
      <c r="E95" s="917">
        <v>0</v>
      </c>
      <c r="F95" s="886">
        <f t="shared" si="162"/>
        <v>0</v>
      </c>
      <c r="G95" s="884"/>
      <c r="H95" s="899"/>
      <c r="I95" s="917">
        <v>0</v>
      </c>
      <c r="J95" s="917">
        <v>0</v>
      </c>
      <c r="K95" s="886">
        <f t="shared" si="163"/>
        <v>0</v>
      </c>
      <c r="L95" s="884"/>
      <c r="M95" s="899"/>
      <c r="N95" s="917">
        <v>0</v>
      </c>
      <c r="O95" s="917">
        <v>0</v>
      </c>
      <c r="P95" s="887">
        <f t="shared" si="164"/>
        <v>0</v>
      </c>
      <c r="Q95" s="884"/>
      <c r="R95" s="918"/>
      <c r="S95" s="919"/>
      <c r="T95" s="884"/>
      <c r="U95" s="918"/>
      <c r="V95" s="919"/>
      <c r="W95" s="884"/>
      <c r="X95" s="899"/>
      <c r="Y95" s="899">
        <f t="shared" ref="Y95:Z100" si="173">N95+R95-U95</f>
        <v>0</v>
      </c>
      <c r="Z95" s="899">
        <f t="shared" si="173"/>
        <v>0</v>
      </c>
      <c r="AA95" s="886">
        <f t="shared" si="165"/>
        <v>0</v>
      </c>
      <c r="AB95" s="884"/>
      <c r="AC95" s="899"/>
      <c r="AD95" s="918"/>
      <c r="AE95" s="918"/>
      <c r="AF95" s="886">
        <f t="shared" si="166"/>
        <v>0</v>
      </c>
      <c r="AG95" s="884"/>
      <c r="AH95" s="918"/>
      <c r="AI95" s="919"/>
      <c r="AJ95" s="884"/>
      <c r="AK95" s="918"/>
      <c r="AL95" s="919"/>
      <c r="AM95" s="884"/>
      <c r="AN95" s="918"/>
      <c r="AO95" s="919"/>
      <c r="AP95" s="884"/>
      <c r="AQ95" s="918"/>
      <c r="AR95" s="919"/>
      <c r="AS95" s="903"/>
      <c r="AT95" s="874"/>
      <c r="AU95" s="884"/>
      <c r="AV95" s="899"/>
      <c r="AW95" s="899">
        <f t="shared" ref="AW95:AX100" si="174">AD95-N95</f>
        <v>0</v>
      </c>
      <c r="AX95" s="899">
        <f t="shared" si="174"/>
        <v>0</v>
      </c>
      <c r="AY95" s="891"/>
      <c r="AZ95" s="904"/>
      <c r="BA95" s="904">
        <f t="shared" si="167"/>
        <v>0</v>
      </c>
      <c r="BB95" s="904">
        <f t="shared" si="167"/>
        <v>0</v>
      </c>
      <c r="BC95" s="884"/>
      <c r="BD95" s="899"/>
      <c r="BE95" s="899">
        <f t="shared" ref="BE95:BF100" si="175">AD95-N95-AH95-AK95-AN95-AQ95</f>
        <v>0</v>
      </c>
      <c r="BF95" s="899">
        <f t="shared" si="175"/>
        <v>0</v>
      </c>
      <c r="BG95" s="891">
        <f t="shared" si="168"/>
        <v>0</v>
      </c>
      <c r="BH95" s="904">
        <f t="shared" si="169"/>
        <v>0</v>
      </c>
      <c r="BI95" s="906">
        <f t="shared" si="170"/>
        <v>0</v>
      </c>
      <c r="BJ95" s="905"/>
      <c r="BK95" s="874"/>
      <c r="BL95" s="884"/>
      <c r="BM95" s="899"/>
      <c r="BN95" s="899">
        <f t="shared" ref="BN95:BO100" si="176">AD95-Y95</f>
        <v>0</v>
      </c>
      <c r="BO95" s="899">
        <f t="shared" si="176"/>
        <v>0</v>
      </c>
      <c r="BP95" s="884"/>
      <c r="BQ95" s="899"/>
      <c r="BR95" s="904">
        <f t="shared" si="171"/>
        <v>0</v>
      </c>
      <c r="BS95" s="906">
        <f t="shared" si="171"/>
        <v>0</v>
      </c>
      <c r="BT95" s="874"/>
      <c r="BU95" s="884"/>
      <c r="BV95" s="899"/>
      <c r="BW95" s="899">
        <f t="shared" ref="BW95:BX100" si="177">AD95-D95</f>
        <v>0</v>
      </c>
      <c r="BX95" s="899">
        <f t="shared" si="177"/>
        <v>0</v>
      </c>
      <c r="BY95" s="891"/>
      <c r="BZ95" s="904"/>
      <c r="CA95" s="904">
        <f t="shared" si="172"/>
        <v>0</v>
      </c>
      <c r="CB95" s="906">
        <f t="shared" si="172"/>
        <v>0</v>
      </c>
      <c r="CC95" s="874"/>
      <c r="CD95" s="874"/>
      <c r="CE95" s="874"/>
      <c r="CF95" s="874"/>
      <c r="CG95" s="874"/>
      <c r="CH95" s="874"/>
      <c r="CI95" s="874"/>
      <c r="CJ95" s="874"/>
      <c r="CK95" s="874"/>
      <c r="CL95" s="874"/>
      <c r="CM95" s="874"/>
      <c r="CN95" s="874"/>
      <c r="CO95" s="874"/>
      <c r="CP95" s="874"/>
      <c r="CQ95" s="874"/>
      <c r="CR95" s="874"/>
      <c r="CS95" s="874"/>
      <c r="CT95" s="874"/>
      <c r="CU95" s="874"/>
      <c r="CV95" s="874"/>
      <c r="CW95" s="874"/>
      <c r="CX95" s="874"/>
      <c r="CY95" s="874"/>
      <c r="CZ95" s="874"/>
      <c r="DA95" s="874"/>
      <c r="DB95" s="874"/>
      <c r="DC95" s="874"/>
      <c r="DD95" s="874"/>
      <c r="DE95" s="874"/>
      <c r="DF95" s="874"/>
      <c r="DG95" s="874"/>
      <c r="DH95" s="874"/>
      <c r="DI95" s="874"/>
      <c r="DJ95" s="874"/>
      <c r="DK95" s="874"/>
      <c r="DL95" s="874"/>
      <c r="DM95" s="874"/>
      <c r="DN95" s="874"/>
      <c r="DO95" s="874"/>
      <c r="DP95" s="874"/>
      <c r="DQ95" s="874"/>
      <c r="DR95" s="874"/>
      <c r="DS95" s="874"/>
      <c r="DT95" s="874"/>
      <c r="DU95" s="874"/>
      <c r="DV95" s="874"/>
      <c r="DW95" s="874"/>
      <c r="DX95" s="874"/>
      <c r="DY95" s="874"/>
      <c r="DZ95" s="874"/>
      <c r="EA95" s="874"/>
    </row>
    <row r="96" spans="1:131" ht="20.25" hidden="1" outlineLevel="1">
      <c r="A96" s="896" t="s">
        <v>701</v>
      </c>
      <c r="B96" s="884"/>
      <c r="C96" s="899"/>
      <c r="D96" s="917">
        <v>0</v>
      </c>
      <c r="E96" s="917">
        <v>0</v>
      </c>
      <c r="F96" s="886">
        <f t="shared" si="162"/>
        <v>0</v>
      </c>
      <c r="G96" s="884"/>
      <c r="H96" s="899"/>
      <c r="I96" s="917">
        <v>0</v>
      </c>
      <c r="J96" s="917">
        <v>0</v>
      </c>
      <c r="K96" s="886">
        <f t="shared" si="163"/>
        <v>0</v>
      </c>
      <c r="L96" s="884"/>
      <c r="M96" s="899"/>
      <c r="N96" s="917">
        <v>0</v>
      </c>
      <c r="O96" s="917">
        <v>0</v>
      </c>
      <c r="P96" s="887">
        <f t="shared" si="164"/>
        <v>0</v>
      </c>
      <c r="Q96" s="884"/>
      <c r="R96" s="918">
        <v>0</v>
      </c>
      <c r="S96" s="919">
        <v>0</v>
      </c>
      <c r="T96" s="884"/>
      <c r="U96" s="918">
        <v>0</v>
      </c>
      <c r="V96" s="919">
        <v>0</v>
      </c>
      <c r="W96" s="884"/>
      <c r="X96" s="899"/>
      <c r="Y96" s="899">
        <f>N96+R96-U96</f>
        <v>0</v>
      </c>
      <c r="Z96" s="899">
        <f>O96+S96-V96</f>
        <v>0</v>
      </c>
      <c r="AA96" s="886">
        <f t="shared" si="165"/>
        <v>0</v>
      </c>
      <c r="AB96" s="884"/>
      <c r="AC96" s="899"/>
      <c r="AD96" s="918">
        <v>0</v>
      </c>
      <c r="AE96" s="918">
        <v>0</v>
      </c>
      <c r="AF96" s="886">
        <f t="shared" si="166"/>
        <v>0</v>
      </c>
      <c r="AG96" s="884"/>
      <c r="AH96" s="918">
        <v>0</v>
      </c>
      <c r="AI96" s="919">
        <v>0</v>
      </c>
      <c r="AJ96" s="884"/>
      <c r="AK96" s="918">
        <v>0</v>
      </c>
      <c r="AL96" s="919">
        <v>0</v>
      </c>
      <c r="AM96" s="884"/>
      <c r="AN96" s="918">
        <v>0</v>
      </c>
      <c r="AO96" s="919">
        <v>0</v>
      </c>
      <c r="AP96" s="884"/>
      <c r="AQ96" s="918">
        <v>0</v>
      </c>
      <c r="AR96" s="919">
        <v>0</v>
      </c>
      <c r="AS96" s="903"/>
      <c r="AT96" s="874"/>
      <c r="AU96" s="884"/>
      <c r="AV96" s="899"/>
      <c r="AW96" s="899">
        <f t="shared" si="174"/>
        <v>0</v>
      </c>
      <c r="AX96" s="899">
        <f t="shared" si="174"/>
        <v>0</v>
      </c>
      <c r="AY96" s="891"/>
      <c r="AZ96" s="904"/>
      <c r="BA96" s="904">
        <f t="shared" si="167"/>
        <v>0</v>
      </c>
      <c r="BB96" s="904">
        <f t="shared" si="167"/>
        <v>0</v>
      </c>
      <c r="BC96" s="884"/>
      <c r="BD96" s="899"/>
      <c r="BE96" s="899">
        <f t="shared" si="175"/>
        <v>0</v>
      </c>
      <c r="BF96" s="899">
        <f t="shared" si="175"/>
        <v>0</v>
      </c>
      <c r="BG96" s="891">
        <f t="shared" si="168"/>
        <v>0</v>
      </c>
      <c r="BH96" s="904">
        <f t="shared" si="169"/>
        <v>0</v>
      </c>
      <c r="BI96" s="906">
        <f t="shared" si="170"/>
        <v>0</v>
      </c>
      <c r="BJ96" s="905"/>
      <c r="BK96" s="874"/>
      <c r="BL96" s="884"/>
      <c r="BM96" s="899"/>
      <c r="BN96" s="899">
        <f t="shared" si="176"/>
        <v>0</v>
      </c>
      <c r="BO96" s="899">
        <f t="shared" si="176"/>
        <v>0</v>
      </c>
      <c r="BP96" s="884"/>
      <c r="BQ96" s="899"/>
      <c r="BR96" s="904">
        <f t="shared" si="171"/>
        <v>0</v>
      </c>
      <c r="BS96" s="906">
        <f t="shared" si="171"/>
        <v>0</v>
      </c>
      <c r="BT96" s="874"/>
      <c r="BU96" s="884"/>
      <c r="BV96" s="899"/>
      <c r="BW96" s="899">
        <f t="shared" si="177"/>
        <v>0</v>
      </c>
      <c r="BX96" s="899">
        <f t="shared" si="177"/>
        <v>0</v>
      </c>
      <c r="BY96" s="891"/>
      <c r="BZ96" s="904"/>
      <c r="CA96" s="904">
        <f t="shared" si="172"/>
        <v>0</v>
      </c>
      <c r="CB96" s="906">
        <f t="shared" si="172"/>
        <v>0</v>
      </c>
      <c r="CC96" s="874"/>
      <c r="CD96" s="874"/>
      <c r="CE96" s="874"/>
      <c r="CF96" s="874"/>
      <c r="CG96" s="874"/>
      <c r="CH96" s="874"/>
      <c r="CI96" s="874"/>
      <c r="CJ96" s="874"/>
      <c r="CK96" s="874"/>
      <c r="CL96" s="874"/>
      <c r="CM96" s="874"/>
      <c r="CN96" s="874"/>
      <c r="CO96" s="874"/>
      <c r="CP96" s="874"/>
      <c r="CQ96" s="874"/>
      <c r="CR96" s="874"/>
      <c r="CS96" s="874"/>
      <c r="CT96" s="874"/>
      <c r="CU96" s="874"/>
      <c r="CV96" s="874"/>
      <c r="CW96" s="874"/>
      <c r="CX96" s="874"/>
      <c r="CY96" s="874"/>
      <c r="CZ96" s="874"/>
      <c r="DA96" s="874"/>
      <c r="DB96" s="874"/>
      <c r="DC96" s="874"/>
      <c r="DD96" s="874"/>
      <c r="DE96" s="874"/>
      <c r="DF96" s="874"/>
      <c r="DG96" s="874"/>
      <c r="DH96" s="874"/>
      <c r="DI96" s="874"/>
      <c r="DJ96" s="874"/>
      <c r="DK96" s="874"/>
      <c r="DL96" s="874"/>
      <c r="DM96" s="874"/>
      <c r="DN96" s="874"/>
      <c r="DO96" s="874"/>
      <c r="DP96" s="874"/>
      <c r="DQ96" s="874"/>
      <c r="DR96" s="874"/>
      <c r="DS96" s="874"/>
      <c r="DT96" s="874"/>
      <c r="DU96" s="874"/>
      <c r="DV96" s="874"/>
      <c r="DW96" s="874"/>
      <c r="DX96" s="874"/>
      <c r="DY96" s="874"/>
      <c r="DZ96" s="874"/>
      <c r="EA96" s="874"/>
    </row>
    <row r="97" spans="1:131" ht="20.25" hidden="1" outlineLevel="1">
      <c r="A97" s="896" t="s">
        <v>702</v>
      </c>
      <c r="B97" s="884"/>
      <c r="C97" s="899"/>
      <c r="D97" s="917">
        <v>0</v>
      </c>
      <c r="E97" s="917">
        <v>0</v>
      </c>
      <c r="F97" s="886">
        <f t="shared" si="162"/>
        <v>0</v>
      </c>
      <c r="G97" s="884"/>
      <c r="H97" s="899"/>
      <c r="I97" s="917">
        <v>0</v>
      </c>
      <c r="J97" s="917">
        <v>0</v>
      </c>
      <c r="K97" s="886">
        <f t="shared" si="163"/>
        <v>0</v>
      </c>
      <c r="L97" s="884"/>
      <c r="M97" s="899"/>
      <c r="N97" s="917">
        <v>0</v>
      </c>
      <c r="O97" s="917">
        <v>0</v>
      </c>
      <c r="P97" s="887">
        <f t="shared" si="164"/>
        <v>0</v>
      </c>
      <c r="Q97" s="884"/>
      <c r="R97" s="918"/>
      <c r="S97" s="919"/>
      <c r="T97" s="884"/>
      <c r="U97" s="918"/>
      <c r="V97" s="919"/>
      <c r="W97" s="884"/>
      <c r="X97" s="899"/>
      <c r="Y97" s="899">
        <f t="shared" si="173"/>
        <v>0</v>
      </c>
      <c r="Z97" s="899">
        <f t="shared" si="173"/>
        <v>0</v>
      </c>
      <c r="AA97" s="886">
        <f t="shared" si="165"/>
        <v>0</v>
      </c>
      <c r="AB97" s="884"/>
      <c r="AC97" s="899"/>
      <c r="AD97" s="918"/>
      <c r="AE97" s="918"/>
      <c r="AF97" s="886">
        <f t="shared" si="166"/>
        <v>0</v>
      </c>
      <c r="AG97" s="884"/>
      <c r="AH97" s="918"/>
      <c r="AI97" s="919"/>
      <c r="AJ97" s="884"/>
      <c r="AK97" s="918"/>
      <c r="AL97" s="919"/>
      <c r="AM97" s="884"/>
      <c r="AN97" s="918"/>
      <c r="AO97" s="919"/>
      <c r="AP97" s="884"/>
      <c r="AQ97" s="918"/>
      <c r="AR97" s="919"/>
      <c r="AS97" s="903"/>
      <c r="AT97" s="874"/>
      <c r="AU97" s="884"/>
      <c r="AV97" s="899"/>
      <c r="AW97" s="899">
        <f t="shared" si="174"/>
        <v>0</v>
      </c>
      <c r="AX97" s="899">
        <f t="shared" si="174"/>
        <v>0</v>
      </c>
      <c r="AY97" s="891"/>
      <c r="AZ97" s="904"/>
      <c r="BA97" s="904">
        <f t="shared" si="167"/>
        <v>0</v>
      </c>
      <c r="BB97" s="904">
        <f t="shared" si="167"/>
        <v>0</v>
      </c>
      <c r="BC97" s="884"/>
      <c r="BD97" s="899"/>
      <c r="BE97" s="899">
        <f t="shared" si="175"/>
        <v>0</v>
      </c>
      <c r="BF97" s="899">
        <f t="shared" si="175"/>
        <v>0</v>
      </c>
      <c r="BG97" s="891">
        <f t="shared" si="168"/>
        <v>0</v>
      </c>
      <c r="BH97" s="904">
        <f t="shared" si="169"/>
        <v>0</v>
      </c>
      <c r="BI97" s="906">
        <f t="shared" si="170"/>
        <v>0</v>
      </c>
      <c r="BJ97" s="905"/>
      <c r="BK97" s="874"/>
      <c r="BL97" s="884"/>
      <c r="BM97" s="899"/>
      <c r="BN97" s="899">
        <f t="shared" si="176"/>
        <v>0</v>
      </c>
      <c r="BO97" s="899">
        <f t="shared" si="176"/>
        <v>0</v>
      </c>
      <c r="BP97" s="884"/>
      <c r="BQ97" s="899"/>
      <c r="BR97" s="904">
        <f t="shared" si="171"/>
        <v>0</v>
      </c>
      <c r="BS97" s="906">
        <f t="shared" si="171"/>
        <v>0</v>
      </c>
      <c r="BT97" s="874"/>
      <c r="BU97" s="884"/>
      <c r="BV97" s="899"/>
      <c r="BW97" s="899">
        <f t="shared" si="177"/>
        <v>0</v>
      </c>
      <c r="BX97" s="899">
        <f t="shared" si="177"/>
        <v>0</v>
      </c>
      <c r="BY97" s="891"/>
      <c r="BZ97" s="904"/>
      <c r="CA97" s="904">
        <f t="shared" si="172"/>
        <v>0</v>
      </c>
      <c r="CB97" s="906">
        <f t="shared" si="172"/>
        <v>0</v>
      </c>
      <c r="CC97" s="874"/>
      <c r="CD97" s="874"/>
      <c r="CE97" s="874"/>
      <c r="CF97" s="874"/>
      <c r="CG97" s="874"/>
      <c r="CH97" s="874"/>
      <c r="CI97" s="874"/>
      <c r="CJ97" s="874"/>
      <c r="CK97" s="874"/>
      <c r="CL97" s="874"/>
      <c r="CM97" s="874"/>
      <c r="CN97" s="874"/>
      <c r="CO97" s="874"/>
      <c r="CP97" s="874"/>
      <c r="CQ97" s="874"/>
      <c r="CR97" s="874"/>
      <c r="CS97" s="874"/>
      <c r="CT97" s="874"/>
      <c r="CU97" s="874"/>
      <c r="CV97" s="874"/>
      <c r="CW97" s="874"/>
      <c r="CX97" s="874"/>
      <c r="CY97" s="874"/>
      <c r="CZ97" s="874"/>
      <c r="DA97" s="874"/>
      <c r="DB97" s="874"/>
      <c r="DC97" s="874"/>
      <c r="DD97" s="874"/>
      <c r="DE97" s="874"/>
      <c r="DF97" s="874"/>
      <c r="DG97" s="874"/>
      <c r="DH97" s="874"/>
      <c r="DI97" s="874"/>
      <c r="DJ97" s="874"/>
      <c r="DK97" s="874"/>
      <c r="DL97" s="874"/>
      <c r="DM97" s="874"/>
      <c r="DN97" s="874"/>
      <c r="DO97" s="874"/>
      <c r="DP97" s="874"/>
      <c r="DQ97" s="874"/>
      <c r="DR97" s="874"/>
      <c r="DS97" s="874"/>
      <c r="DT97" s="874"/>
      <c r="DU97" s="874"/>
      <c r="DV97" s="874"/>
      <c r="DW97" s="874"/>
      <c r="DX97" s="874"/>
      <c r="DY97" s="874"/>
      <c r="DZ97" s="874"/>
      <c r="EA97" s="874"/>
    </row>
    <row r="98" spans="1:131" ht="20.25" hidden="1" outlineLevel="1">
      <c r="A98" s="896" t="s">
        <v>703</v>
      </c>
      <c r="B98" s="884"/>
      <c r="C98" s="899"/>
      <c r="D98" s="917">
        <v>0</v>
      </c>
      <c r="E98" s="917">
        <v>0</v>
      </c>
      <c r="F98" s="886">
        <f t="shared" si="162"/>
        <v>0</v>
      </c>
      <c r="G98" s="884"/>
      <c r="H98" s="899"/>
      <c r="I98" s="917">
        <v>0</v>
      </c>
      <c r="J98" s="917">
        <v>0</v>
      </c>
      <c r="K98" s="886">
        <f t="shared" si="163"/>
        <v>0</v>
      </c>
      <c r="L98" s="884"/>
      <c r="M98" s="899"/>
      <c r="N98" s="917">
        <v>0</v>
      </c>
      <c r="O98" s="917">
        <v>0</v>
      </c>
      <c r="P98" s="887">
        <f t="shared" si="164"/>
        <v>0</v>
      </c>
      <c r="Q98" s="884"/>
      <c r="R98" s="918"/>
      <c r="S98" s="919"/>
      <c r="T98" s="884"/>
      <c r="U98" s="918"/>
      <c r="V98" s="919"/>
      <c r="W98" s="884"/>
      <c r="X98" s="899"/>
      <c r="Y98" s="899">
        <f t="shared" si="173"/>
        <v>0</v>
      </c>
      <c r="Z98" s="899">
        <f t="shared" si="173"/>
        <v>0</v>
      </c>
      <c r="AA98" s="886">
        <f t="shared" si="165"/>
        <v>0</v>
      </c>
      <c r="AB98" s="884"/>
      <c r="AC98" s="899"/>
      <c r="AD98" s="918"/>
      <c r="AE98" s="918"/>
      <c r="AF98" s="886">
        <f t="shared" si="166"/>
        <v>0</v>
      </c>
      <c r="AG98" s="884"/>
      <c r="AH98" s="918"/>
      <c r="AI98" s="919"/>
      <c r="AJ98" s="884"/>
      <c r="AK98" s="918"/>
      <c r="AL98" s="919"/>
      <c r="AM98" s="884"/>
      <c r="AN98" s="918"/>
      <c r="AO98" s="919"/>
      <c r="AP98" s="884"/>
      <c r="AQ98" s="918"/>
      <c r="AR98" s="919"/>
      <c r="AS98" s="903"/>
      <c r="AT98" s="874"/>
      <c r="AU98" s="884"/>
      <c r="AV98" s="899"/>
      <c r="AW98" s="899">
        <f t="shared" si="174"/>
        <v>0</v>
      </c>
      <c r="AX98" s="899">
        <f t="shared" si="174"/>
        <v>0</v>
      </c>
      <c r="AY98" s="891"/>
      <c r="AZ98" s="904"/>
      <c r="BA98" s="904">
        <f t="shared" si="167"/>
        <v>0</v>
      </c>
      <c r="BB98" s="904">
        <f t="shared" si="167"/>
        <v>0</v>
      </c>
      <c r="BC98" s="884"/>
      <c r="BD98" s="899"/>
      <c r="BE98" s="899">
        <f t="shared" si="175"/>
        <v>0</v>
      </c>
      <c r="BF98" s="899">
        <f t="shared" si="175"/>
        <v>0</v>
      </c>
      <c r="BG98" s="891">
        <f t="shared" si="168"/>
        <v>0</v>
      </c>
      <c r="BH98" s="904">
        <f t="shared" si="169"/>
        <v>0</v>
      </c>
      <c r="BI98" s="906">
        <f t="shared" si="170"/>
        <v>0</v>
      </c>
      <c r="BJ98" s="905"/>
      <c r="BK98" s="874"/>
      <c r="BL98" s="884"/>
      <c r="BM98" s="899"/>
      <c r="BN98" s="899">
        <f t="shared" si="176"/>
        <v>0</v>
      </c>
      <c r="BO98" s="899">
        <f t="shared" si="176"/>
        <v>0</v>
      </c>
      <c r="BP98" s="884"/>
      <c r="BQ98" s="899"/>
      <c r="BR98" s="904">
        <f t="shared" si="171"/>
        <v>0</v>
      </c>
      <c r="BS98" s="906">
        <f t="shared" si="171"/>
        <v>0</v>
      </c>
      <c r="BT98" s="874"/>
      <c r="BU98" s="884"/>
      <c r="BV98" s="899"/>
      <c r="BW98" s="899">
        <f t="shared" si="177"/>
        <v>0</v>
      </c>
      <c r="BX98" s="899">
        <f t="shared" si="177"/>
        <v>0</v>
      </c>
      <c r="BY98" s="891"/>
      <c r="BZ98" s="904"/>
      <c r="CA98" s="904">
        <f t="shared" si="172"/>
        <v>0</v>
      </c>
      <c r="CB98" s="906">
        <f t="shared" si="172"/>
        <v>0</v>
      </c>
      <c r="CC98" s="874"/>
      <c r="CD98" s="874"/>
      <c r="CE98" s="874"/>
      <c r="CF98" s="874"/>
      <c r="CG98" s="874"/>
      <c r="CH98" s="874"/>
      <c r="CI98" s="874"/>
      <c r="CJ98" s="874"/>
      <c r="CK98" s="874"/>
      <c r="CL98" s="874"/>
      <c r="CM98" s="874"/>
      <c r="CN98" s="874"/>
      <c r="CO98" s="874"/>
      <c r="CP98" s="874"/>
      <c r="CQ98" s="874"/>
      <c r="CR98" s="874"/>
      <c r="CS98" s="874"/>
      <c r="CT98" s="874"/>
      <c r="CU98" s="874"/>
      <c r="CV98" s="874"/>
      <c r="CW98" s="874"/>
      <c r="CX98" s="874"/>
      <c r="CY98" s="874"/>
      <c r="CZ98" s="874"/>
      <c r="DA98" s="874"/>
      <c r="DB98" s="874"/>
      <c r="DC98" s="874"/>
      <c r="DD98" s="874"/>
      <c r="DE98" s="874"/>
      <c r="DF98" s="874"/>
      <c r="DG98" s="874"/>
      <c r="DH98" s="874"/>
      <c r="DI98" s="874"/>
      <c r="DJ98" s="874"/>
      <c r="DK98" s="874"/>
      <c r="DL98" s="874"/>
      <c r="DM98" s="874"/>
      <c r="DN98" s="874"/>
      <c r="DO98" s="874"/>
      <c r="DP98" s="874"/>
      <c r="DQ98" s="874"/>
      <c r="DR98" s="874"/>
      <c r="DS98" s="874"/>
      <c r="DT98" s="874"/>
      <c r="DU98" s="874"/>
      <c r="DV98" s="874"/>
      <c r="DW98" s="874"/>
      <c r="DX98" s="874"/>
      <c r="DY98" s="874"/>
      <c r="DZ98" s="874"/>
      <c r="EA98" s="874"/>
    </row>
    <row r="99" spans="1:131" ht="20.25" hidden="1" outlineLevel="1">
      <c r="A99" s="896" t="s">
        <v>704</v>
      </c>
      <c r="B99" s="884"/>
      <c r="C99" s="899"/>
      <c r="D99" s="917">
        <v>0</v>
      </c>
      <c r="E99" s="917">
        <v>0</v>
      </c>
      <c r="F99" s="886">
        <f t="shared" si="162"/>
        <v>0</v>
      </c>
      <c r="G99" s="884"/>
      <c r="H99" s="899"/>
      <c r="I99" s="917">
        <v>0</v>
      </c>
      <c r="J99" s="917">
        <v>0</v>
      </c>
      <c r="K99" s="886">
        <f t="shared" si="163"/>
        <v>0</v>
      </c>
      <c r="L99" s="884"/>
      <c r="M99" s="899"/>
      <c r="N99" s="917">
        <v>0</v>
      </c>
      <c r="O99" s="917">
        <v>0</v>
      </c>
      <c r="P99" s="887">
        <f t="shared" si="164"/>
        <v>0</v>
      </c>
      <c r="Q99" s="884"/>
      <c r="R99" s="918"/>
      <c r="S99" s="919"/>
      <c r="T99" s="884"/>
      <c r="U99" s="918"/>
      <c r="V99" s="919"/>
      <c r="W99" s="884"/>
      <c r="X99" s="899"/>
      <c r="Y99" s="899">
        <f t="shared" si="173"/>
        <v>0</v>
      </c>
      <c r="Z99" s="899">
        <f t="shared" si="173"/>
        <v>0</v>
      </c>
      <c r="AA99" s="886">
        <f t="shared" si="165"/>
        <v>0</v>
      </c>
      <c r="AB99" s="884"/>
      <c r="AC99" s="899"/>
      <c r="AD99" s="918"/>
      <c r="AE99" s="918"/>
      <c r="AF99" s="886">
        <f t="shared" si="166"/>
        <v>0</v>
      </c>
      <c r="AG99" s="884"/>
      <c r="AH99" s="918"/>
      <c r="AI99" s="919"/>
      <c r="AJ99" s="884"/>
      <c r="AK99" s="918"/>
      <c r="AL99" s="919"/>
      <c r="AM99" s="884"/>
      <c r="AN99" s="918"/>
      <c r="AO99" s="919"/>
      <c r="AP99" s="884"/>
      <c r="AQ99" s="918"/>
      <c r="AR99" s="919"/>
      <c r="AS99" s="903"/>
      <c r="AT99" s="874"/>
      <c r="AU99" s="884"/>
      <c r="AV99" s="899"/>
      <c r="AW99" s="899">
        <f t="shared" si="174"/>
        <v>0</v>
      </c>
      <c r="AX99" s="899">
        <f t="shared" si="174"/>
        <v>0</v>
      </c>
      <c r="AY99" s="891"/>
      <c r="AZ99" s="904"/>
      <c r="BA99" s="904">
        <f t="shared" si="167"/>
        <v>0</v>
      </c>
      <c r="BB99" s="904">
        <f t="shared" si="167"/>
        <v>0</v>
      </c>
      <c r="BC99" s="884"/>
      <c r="BD99" s="899"/>
      <c r="BE99" s="899">
        <f t="shared" si="175"/>
        <v>0</v>
      </c>
      <c r="BF99" s="899">
        <f t="shared" si="175"/>
        <v>0</v>
      </c>
      <c r="BG99" s="891">
        <f t="shared" si="168"/>
        <v>0</v>
      </c>
      <c r="BH99" s="904">
        <f t="shared" si="169"/>
        <v>0</v>
      </c>
      <c r="BI99" s="906">
        <f t="shared" si="170"/>
        <v>0</v>
      </c>
      <c r="BJ99" s="905"/>
      <c r="BK99" s="874"/>
      <c r="BL99" s="884"/>
      <c r="BM99" s="899"/>
      <c r="BN99" s="899">
        <f t="shared" si="176"/>
        <v>0</v>
      </c>
      <c r="BO99" s="899">
        <f t="shared" si="176"/>
        <v>0</v>
      </c>
      <c r="BP99" s="884"/>
      <c r="BQ99" s="899"/>
      <c r="BR99" s="904">
        <f t="shared" si="171"/>
        <v>0</v>
      </c>
      <c r="BS99" s="906">
        <f t="shared" si="171"/>
        <v>0</v>
      </c>
      <c r="BT99" s="874"/>
      <c r="BU99" s="884"/>
      <c r="BV99" s="899"/>
      <c r="BW99" s="899">
        <f t="shared" si="177"/>
        <v>0</v>
      </c>
      <c r="BX99" s="899">
        <f t="shared" si="177"/>
        <v>0</v>
      </c>
      <c r="BY99" s="891"/>
      <c r="BZ99" s="904"/>
      <c r="CA99" s="904">
        <f t="shared" si="172"/>
        <v>0</v>
      </c>
      <c r="CB99" s="906">
        <f t="shared" si="172"/>
        <v>0</v>
      </c>
      <c r="CC99" s="874"/>
      <c r="CD99" s="874"/>
      <c r="CE99" s="874"/>
      <c r="CF99" s="874"/>
      <c r="CG99" s="874"/>
      <c r="CH99" s="874"/>
      <c r="CI99" s="874"/>
      <c r="CJ99" s="874"/>
      <c r="CK99" s="874"/>
      <c r="CL99" s="874"/>
      <c r="CM99" s="874"/>
      <c r="CN99" s="874"/>
      <c r="CO99" s="874"/>
      <c r="CP99" s="874"/>
      <c r="CQ99" s="874"/>
      <c r="CR99" s="874"/>
      <c r="CS99" s="874"/>
      <c r="CT99" s="874"/>
      <c r="CU99" s="874"/>
      <c r="CV99" s="874"/>
      <c r="CW99" s="874"/>
      <c r="CX99" s="874"/>
      <c r="CY99" s="874"/>
      <c r="CZ99" s="874"/>
      <c r="DA99" s="874"/>
      <c r="DB99" s="874"/>
      <c r="DC99" s="874"/>
      <c r="DD99" s="874"/>
      <c r="DE99" s="874"/>
      <c r="DF99" s="874"/>
      <c r="DG99" s="874"/>
      <c r="DH99" s="874"/>
      <c r="DI99" s="874"/>
      <c r="DJ99" s="874"/>
      <c r="DK99" s="874"/>
      <c r="DL99" s="874"/>
      <c r="DM99" s="874"/>
      <c r="DN99" s="874"/>
      <c r="DO99" s="874"/>
      <c r="DP99" s="874"/>
      <c r="DQ99" s="874"/>
      <c r="DR99" s="874"/>
      <c r="DS99" s="874"/>
      <c r="DT99" s="874"/>
      <c r="DU99" s="874"/>
      <c r="DV99" s="874"/>
      <c r="DW99" s="874"/>
      <c r="DX99" s="874"/>
      <c r="DY99" s="874"/>
      <c r="DZ99" s="874"/>
      <c r="EA99" s="874"/>
    </row>
    <row r="100" spans="1:131" ht="20.25" hidden="1" outlineLevel="1">
      <c r="A100" s="897" t="s">
        <v>705</v>
      </c>
      <c r="B100" s="884"/>
      <c r="C100" s="899"/>
      <c r="D100" s="917">
        <v>0</v>
      </c>
      <c r="E100" s="917">
        <v>0</v>
      </c>
      <c r="F100" s="886">
        <f t="shared" si="162"/>
        <v>0</v>
      </c>
      <c r="G100" s="884"/>
      <c r="H100" s="899"/>
      <c r="I100" s="917">
        <v>0</v>
      </c>
      <c r="J100" s="917">
        <v>0</v>
      </c>
      <c r="K100" s="886">
        <f t="shared" si="163"/>
        <v>0</v>
      </c>
      <c r="L100" s="884"/>
      <c r="M100" s="899"/>
      <c r="N100" s="917">
        <v>0</v>
      </c>
      <c r="O100" s="917">
        <v>0</v>
      </c>
      <c r="P100" s="887">
        <f t="shared" si="164"/>
        <v>0</v>
      </c>
      <c r="Q100" s="884"/>
      <c r="R100" s="918"/>
      <c r="S100" s="919"/>
      <c r="T100" s="884"/>
      <c r="U100" s="918"/>
      <c r="V100" s="919"/>
      <c r="W100" s="884"/>
      <c r="X100" s="899"/>
      <c r="Y100" s="899">
        <f t="shared" si="173"/>
        <v>0</v>
      </c>
      <c r="Z100" s="899">
        <f t="shared" si="173"/>
        <v>0</v>
      </c>
      <c r="AA100" s="886">
        <f t="shared" si="165"/>
        <v>0</v>
      </c>
      <c r="AB100" s="884"/>
      <c r="AC100" s="899"/>
      <c r="AD100" s="918"/>
      <c r="AE100" s="918"/>
      <c r="AF100" s="886">
        <f t="shared" si="166"/>
        <v>0</v>
      </c>
      <c r="AG100" s="884"/>
      <c r="AH100" s="918"/>
      <c r="AI100" s="919"/>
      <c r="AJ100" s="884"/>
      <c r="AK100" s="918"/>
      <c r="AL100" s="919"/>
      <c r="AM100" s="884"/>
      <c r="AN100" s="918"/>
      <c r="AO100" s="919"/>
      <c r="AP100" s="884"/>
      <c r="AQ100" s="918"/>
      <c r="AR100" s="919"/>
      <c r="AS100" s="903"/>
      <c r="AT100" s="874"/>
      <c r="AU100" s="884"/>
      <c r="AV100" s="899"/>
      <c r="AW100" s="899">
        <f t="shared" si="174"/>
        <v>0</v>
      </c>
      <c r="AX100" s="899">
        <f t="shared" si="174"/>
        <v>0</v>
      </c>
      <c r="AY100" s="891"/>
      <c r="AZ100" s="904"/>
      <c r="BA100" s="904">
        <f t="shared" si="167"/>
        <v>0</v>
      </c>
      <c r="BB100" s="904">
        <f t="shared" si="167"/>
        <v>0</v>
      </c>
      <c r="BC100" s="884"/>
      <c r="BD100" s="899"/>
      <c r="BE100" s="899">
        <f t="shared" si="175"/>
        <v>0</v>
      </c>
      <c r="BF100" s="899">
        <f t="shared" si="175"/>
        <v>0</v>
      </c>
      <c r="BG100" s="891">
        <f t="shared" si="168"/>
        <v>0</v>
      </c>
      <c r="BH100" s="904">
        <f t="shared" si="169"/>
        <v>0</v>
      </c>
      <c r="BI100" s="906">
        <f t="shared" si="170"/>
        <v>0</v>
      </c>
      <c r="BJ100" s="905"/>
      <c r="BK100" s="874"/>
      <c r="BL100" s="884"/>
      <c r="BM100" s="899"/>
      <c r="BN100" s="899">
        <f t="shared" si="176"/>
        <v>0</v>
      </c>
      <c r="BO100" s="899">
        <f t="shared" si="176"/>
        <v>0</v>
      </c>
      <c r="BP100" s="884"/>
      <c r="BQ100" s="899"/>
      <c r="BR100" s="904">
        <f t="shared" si="171"/>
        <v>0</v>
      </c>
      <c r="BS100" s="906">
        <f t="shared" si="171"/>
        <v>0</v>
      </c>
      <c r="BT100" s="874"/>
      <c r="BU100" s="884"/>
      <c r="BV100" s="899"/>
      <c r="BW100" s="899">
        <f t="shared" si="177"/>
        <v>0</v>
      </c>
      <c r="BX100" s="899">
        <f t="shared" si="177"/>
        <v>0</v>
      </c>
      <c r="BY100" s="891"/>
      <c r="BZ100" s="904"/>
      <c r="CA100" s="904">
        <f t="shared" si="172"/>
        <v>0</v>
      </c>
      <c r="CB100" s="906">
        <f t="shared" si="172"/>
        <v>0</v>
      </c>
      <c r="CC100" s="874"/>
      <c r="CD100" s="874"/>
      <c r="CE100" s="874"/>
      <c r="CF100" s="874"/>
      <c r="CG100" s="874"/>
      <c r="CH100" s="874"/>
      <c r="CI100" s="874"/>
      <c r="CJ100" s="874"/>
      <c r="CK100" s="874"/>
      <c r="CL100" s="874"/>
      <c r="CM100" s="874"/>
      <c r="CN100" s="874"/>
      <c r="CO100" s="874"/>
      <c r="CP100" s="874"/>
      <c r="CQ100" s="874"/>
      <c r="CR100" s="874"/>
      <c r="CS100" s="874"/>
      <c r="CT100" s="874"/>
      <c r="CU100" s="874"/>
      <c r="CV100" s="874"/>
      <c r="CW100" s="874"/>
      <c r="CX100" s="874"/>
      <c r="CY100" s="874"/>
      <c r="CZ100" s="874"/>
      <c r="DA100" s="874"/>
      <c r="DB100" s="874"/>
      <c r="DC100" s="874"/>
      <c r="DD100" s="874"/>
      <c r="DE100" s="874"/>
      <c r="DF100" s="874"/>
      <c r="DG100" s="874"/>
      <c r="DH100" s="874"/>
      <c r="DI100" s="874"/>
      <c r="DJ100" s="874"/>
      <c r="DK100" s="874"/>
      <c r="DL100" s="874"/>
      <c r="DM100" s="874"/>
      <c r="DN100" s="874"/>
      <c r="DO100" s="874"/>
      <c r="DP100" s="874"/>
      <c r="DQ100" s="874"/>
      <c r="DR100" s="874"/>
      <c r="DS100" s="874"/>
      <c r="DT100" s="874"/>
      <c r="DU100" s="874"/>
      <c r="DV100" s="874"/>
      <c r="DW100" s="874"/>
      <c r="DX100" s="874"/>
      <c r="DY100" s="874"/>
      <c r="DZ100" s="874"/>
      <c r="EA100" s="874"/>
    </row>
    <row r="101" spans="1:131" ht="20.25" hidden="1" outlineLevel="1">
      <c r="A101" s="896" t="s">
        <v>706</v>
      </c>
      <c r="B101" s="884"/>
      <c r="C101" s="917">
        <v>0</v>
      </c>
      <c r="D101" s="899"/>
      <c r="E101" s="899"/>
      <c r="F101" s="902"/>
      <c r="G101" s="884"/>
      <c r="H101" s="917">
        <v>0</v>
      </c>
      <c r="I101" s="899"/>
      <c r="J101" s="899"/>
      <c r="K101" s="902"/>
      <c r="L101" s="884"/>
      <c r="M101" s="917">
        <v>0</v>
      </c>
      <c r="N101" s="899"/>
      <c r="O101" s="899"/>
      <c r="P101" s="907"/>
      <c r="Q101" s="920"/>
      <c r="R101" s="899"/>
      <c r="S101" s="902"/>
      <c r="T101" s="920"/>
      <c r="U101" s="899"/>
      <c r="V101" s="902"/>
      <c r="W101" s="884"/>
      <c r="X101" s="899">
        <f>M101+Q101-T101</f>
        <v>0</v>
      </c>
      <c r="Y101" s="899"/>
      <c r="Z101" s="899"/>
      <c r="AA101" s="902"/>
      <c r="AB101" s="884"/>
      <c r="AC101" s="918"/>
      <c r="AD101" s="899"/>
      <c r="AE101" s="899"/>
      <c r="AF101" s="902"/>
      <c r="AG101" s="920"/>
      <c r="AH101" s="899"/>
      <c r="AI101" s="902"/>
      <c r="AJ101" s="920"/>
      <c r="AK101" s="899"/>
      <c r="AL101" s="902"/>
      <c r="AM101" s="920"/>
      <c r="AN101" s="899"/>
      <c r="AO101" s="902"/>
      <c r="AP101" s="920"/>
      <c r="AQ101" s="899"/>
      <c r="AR101" s="902"/>
      <c r="AS101" s="903"/>
      <c r="AT101" s="874"/>
      <c r="AU101" s="884"/>
      <c r="AV101" s="899">
        <f>AC101-M101</f>
        <v>0</v>
      </c>
      <c r="AW101" s="899"/>
      <c r="AX101" s="899"/>
      <c r="AY101" s="891"/>
      <c r="AZ101" s="904">
        <f>IF(M101=0,0,AC101/M101*100)</f>
        <v>0</v>
      </c>
      <c r="BA101" s="904"/>
      <c r="BB101" s="904"/>
      <c r="BC101" s="884"/>
      <c r="BD101" s="899">
        <f>AC101-M101-AG101-AJ101-AM101-AP101</f>
        <v>0</v>
      </c>
      <c r="BE101" s="899"/>
      <c r="BF101" s="899"/>
      <c r="BG101" s="884"/>
      <c r="BH101" s="899"/>
      <c r="BI101" s="902"/>
      <c r="BJ101" s="905"/>
      <c r="BK101" s="874"/>
      <c r="BL101" s="884"/>
      <c r="BM101" s="899">
        <f>AC101-X101</f>
        <v>0</v>
      </c>
      <c r="BN101" s="899"/>
      <c r="BO101" s="899"/>
      <c r="BP101" s="884"/>
      <c r="BQ101" s="904">
        <f>IF(X101=0,0,AC101/X101*100)</f>
        <v>0</v>
      </c>
      <c r="BR101" s="899"/>
      <c r="BS101" s="902"/>
      <c r="BT101" s="874"/>
      <c r="BU101" s="884"/>
      <c r="BV101" s="899">
        <f>AC101-C101</f>
        <v>0</v>
      </c>
      <c r="BW101" s="899"/>
      <c r="BX101" s="899"/>
      <c r="BY101" s="891"/>
      <c r="BZ101" s="904">
        <f>IF(C101=0,0,AC101/C101*100)</f>
        <v>0</v>
      </c>
      <c r="CA101" s="904"/>
      <c r="CB101" s="906"/>
      <c r="CC101" s="874"/>
      <c r="CD101" s="874"/>
      <c r="CE101" s="874"/>
      <c r="CF101" s="874"/>
      <c r="CG101" s="874"/>
      <c r="CH101" s="874"/>
      <c r="CI101" s="874"/>
      <c r="CJ101" s="874"/>
      <c r="CK101" s="874"/>
      <c r="CL101" s="874"/>
      <c r="CM101" s="874"/>
      <c r="CN101" s="874"/>
      <c r="CO101" s="874"/>
      <c r="CP101" s="874"/>
      <c r="CQ101" s="874"/>
      <c r="CR101" s="874"/>
      <c r="CS101" s="874"/>
      <c r="CT101" s="874"/>
      <c r="CU101" s="874"/>
      <c r="CV101" s="874"/>
      <c r="CW101" s="874"/>
      <c r="CX101" s="874"/>
      <c r="CY101" s="874"/>
      <c r="CZ101" s="874"/>
      <c r="DA101" s="874"/>
      <c r="DB101" s="874"/>
      <c r="DC101" s="874"/>
      <c r="DD101" s="874"/>
      <c r="DE101" s="874"/>
      <c r="DF101" s="874"/>
      <c r="DG101" s="874"/>
      <c r="DH101" s="874"/>
      <c r="DI101" s="874"/>
      <c r="DJ101" s="874"/>
      <c r="DK101" s="874"/>
      <c r="DL101" s="874"/>
      <c r="DM101" s="874"/>
      <c r="DN101" s="874"/>
      <c r="DO101" s="874"/>
      <c r="DP101" s="874"/>
      <c r="DQ101" s="874"/>
      <c r="DR101" s="874"/>
      <c r="DS101" s="874"/>
      <c r="DT101" s="874"/>
      <c r="DU101" s="874"/>
      <c r="DV101" s="874"/>
      <c r="DW101" s="874"/>
      <c r="DX101" s="874"/>
      <c r="DY101" s="874"/>
      <c r="DZ101" s="874"/>
      <c r="EA101" s="874"/>
    </row>
    <row r="102" spans="1:131" ht="18" hidden="1" customHeight="1" outlineLevel="1">
      <c r="A102" s="921" t="s">
        <v>712</v>
      </c>
      <c r="B102" s="884">
        <f>C102+D102</f>
        <v>0</v>
      </c>
      <c r="C102" s="917">
        <v>0</v>
      </c>
      <c r="D102" s="899">
        <f>SUM(D103:D104,D107:D108)</f>
        <v>0</v>
      </c>
      <c r="E102" s="899">
        <f>SUM(E103:E104,E107:E108)</f>
        <v>0</v>
      </c>
      <c r="F102" s="886">
        <f t="shared" ref="F102:F108" si="178">IF(E102=0,0,ROUND(D102/E102/12,0))</f>
        <v>0</v>
      </c>
      <c r="G102" s="884">
        <f>H102+I102</f>
        <v>0</v>
      </c>
      <c r="H102" s="917">
        <v>0</v>
      </c>
      <c r="I102" s="899">
        <f>SUM(I103:I104,I107:I108)</f>
        <v>0</v>
      </c>
      <c r="J102" s="899">
        <f>SUM(J103:J104,J107:J108)</f>
        <v>0</v>
      </c>
      <c r="K102" s="886">
        <f t="shared" ref="K102:K108" si="179">IF(J102=0,0,ROUND(I102/J102/12,0))</f>
        <v>0</v>
      </c>
      <c r="L102" s="884">
        <f>M102+N102</f>
        <v>0</v>
      </c>
      <c r="M102" s="917">
        <v>0</v>
      </c>
      <c r="N102" s="899">
        <f>SUM(N103:N104,N107:N108)</f>
        <v>0</v>
      </c>
      <c r="O102" s="899">
        <f>SUM(O103:O104,O107:O108)</f>
        <v>0</v>
      </c>
      <c r="P102" s="887">
        <f t="shared" ref="P102:P108" si="180">IF(O102=0,0,ROUND(N102/O102/12,0))</f>
        <v>0</v>
      </c>
      <c r="Q102" s="920"/>
      <c r="R102" s="899">
        <f>SUM(R103:R104,R107:R108)</f>
        <v>0</v>
      </c>
      <c r="S102" s="902">
        <f>SUM(S103:S104,S107:S108)</f>
        <v>0</v>
      </c>
      <c r="T102" s="920"/>
      <c r="U102" s="899">
        <f>SUM(U103:U104,U107:U108)</f>
        <v>0</v>
      </c>
      <c r="V102" s="902">
        <f>SUM(V103:V104,V107:V108)</f>
        <v>0</v>
      </c>
      <c r="W102" s="884">
        <f>X102+Y102</f>
        <v>0</v>
      </c>
      <c r="X102" s="899">
        <f>M102+Q102-T102</f>
        <v>0</v>
      </c>
      <c r="Y102" s="899">
        <f>SUM(Y103:Y104,Y107:Y108)</f>
        <v>0</v>
      </c>
      <c r="Z102" s="899">
        <f>SUM(Z103:Z104,Z107:Z108)</f>
        <v>0</v>
      </c>
      <c r="AA102" s="886">
        <f t="shared" ref="AA102:AA108" si="181">IF(Z102=0,0,ROUND(Y102/Z102/12,0))</f>
        <v>0</v>
      </c>
      <c r="AB102" s="884">
        <f>AC102+AD102</f>
        <v>0</v>
      </c>
      <c r="AC102" s="918"/>
      <c r="AD102" s="899">
        <f>SUM(AD103:AD104,AD107:AD108)</f>
        <v>0</v>
      </c>
      <c r="AE102" s="899">
        <f>SUM(AE103:AE104,AE107:AE108)</f>
        <v>0</v>
      </c>
      <c r="AF102" s="886">
        <f t="shared" ref="AF102:AF108" si="182">IF(AE102=0,0,ROUND(AD102/AE102/12,0))</f>
        <v>0</v>
      </c>
      <c r="AG102" s="920"/>
      <c r="AH102" s="899">
        <f>SUM(AH103:AH104,AH107:AH108)</f>
        <v>0</v>
      </c>
      <c r="AI102" s="902">
        <f>SUM(AI103:AI104,AI107:AI108)</f>
        <v>0</v>
      </c>
      <c r="AJ102" s="920"/>
      <c r="AK102" s="899">
        <f>SUM(AK103:AK104,AK107:AK108)</f>
        <v>0</v>
      </c>
      <c r="AL102" s="902">
        <f>SUM(AL103:AL104,AL107:AL108)</f>
        <v>0</v>
      </c>
      <c r="AM102" s="920"/>
      <c r="AN102" s="899">
        <f>SUM(AN103:AN104,AN107:AN108)</f>
        <v>0</v>
      </c>
      <c r="AO102" s="902">
        <f>SUM(AO103:AO104,AO107:AO108)</f>
        <v>0</v>
      </c>
      <c r="AP102" s="920"/>
      <c r="AQ102" s="899">
        <f>SUM(AQ103:AQ104,AQ107:AQ108)</f>
        <v>0</v>
      </c>
      <c r="AR102" s="902">
        <f>SUM(AR103:AR104,AR107:AR108)</f>
        <v>0</v>
      </c>
      <c r="AS102" s="903"/>
      <c r="AT102" s="874"/>
      <c r="AU102" s="884">
        <f>AV102+AW102</f>
        <v>0</v>
      </c>
      <c r="AV102" s="899">
        <f>AC102-M102</f>
        <v>0</v>
      </c>
      <c r="AW102" s="899">
        <f>SUM(AW103:AW104,AW107:AW108)</f>
        <v>0</v>
      </c>
      <c r="AX102" s="899">
        <f>SUM(AX103:AX104,AX107:AX108)</f>
        <v>0</v>
      </c>
      <c r="AY102" s="891">
        <f>IF(L102=0,0,AB102/L102*100)</f>
        <v>0</v>
      </c>
      <c r="AZ102" s="904">
        <f>IF(M102=0,0,AC102/M102*100)</f>
        <v>0</v>
      </c>
      <c r="BA102" s="904">
        <f t="shared" ref="BA102:BB108" si="183">IF(N102=0,0,AD102/N102*100)</f>
        <v>0</v>
      </c>
      <c r="BB102" s="904">
        <f t="shared" si="183"/>
        <v>0</v>
      </c>
      <c r="BC102" s="884">
        <f>BD102+BE102</f>
        <v>0</v>
      </c>
      <c r="BD102" s="899">
        <f>AC102-M102-AG102-AJ102-AM102-AP102</f>
        <v>0</v>
      </c>
      <c r="BE102" s="899">
        <f>SUM(BE103:BE104,BE107:BE108)</f>
        <v>0</v>
      </c>
      <c r="BF102" s="899">
        <f>SUM(BF103:BF104,BF107:BF108)</f>
        <v>0</v>
      </c>
      <c r="BG102" s="891">
        <f t="shared" ref="BG102:BG108" si="184">IF(F102=0,0,AF102/F102*100)</f>
        <v>0</v>
      </c>
      <c r="BH102" s="904">
        <f t="shared" ref="BH102:BH108" si="185">IF(K102=0,0,AF102/K102*100)</f>
        <v>0</v>
      </c>
      <c r="BI102" s="906">
        <f t="shared" ref="BI102:BI108" si="186">IF(P102=0,0,AF102/P102*100)</f>
        <v>0</v>
      </c>
      <c r="BJ102" s="905"/>
      <c r="BK102" s="874"/>
      <c r="BL102" s="884">
        <f>BM102+BN102</f>
        <v>0</v>
      </c>
      <c r="BM102" s="899">
        <f>AC102-X102</f>
        <v>0</v>
      </c>
      <c r="BN102" s="899">
        <f>SUM(BN103:BN104,BN107:BN108)</f>
        <v>0</v>
      </c>
      <c r="BO102" s="899">
        <f>SUM(BO103:BO104,BO107:BO108)</f>
        <v>0</v>
      </c>
      <c r="BP102" s="891">
        <f>IF(W102=0,0,AB102/W102*100)</f>
        <v>0</v>
      </c>
      <c r="BQ102" s="904">
        <f>IF(X102=0,0,AC102/X102*100)</f>
        <v>0</v>
      </c>
      <c r="BR102" s="904">
        <f t="shared" ref="BR102:BS108" si="187">IF(Y102=0,0,AD102/Y102*100)</f>
        <v>0</v>
      </c>
      <c r="BS102" s="906">
        <f t="shared" si="187"/>
        <v>0</v>
      </c>
      <c r="BT102" s="874"/>
      <c r="BU102" s="884">
        <f>BV102+BW102</f>
        <v>0</v>
      </c>
      <c r="BV102" s="899">
        <f>AC102-C102</f>
        <v>0</v>
      </c>
      <c r="BW102" s="899">
        <f>SUM(BW103:BW104,BW107:BW108)</f>
        <v>0</v>
      </c>
      <c r="BX102" s="899">
        <f>SUM(BX103:BX104,BX107:BX108)</f>
        <v>0</v>
      </c>
      <c r="BY102" s="891">
        <f>IF(B102=0,0,AB102/B102*100)</f>
        <v>0</v>
      </c>
      <c r="BZ102" s="904">
        <f>IF(C102=0,0,AC102/C102*100)</f>
        <v>0</v>
      </c>
      <c r="CA102" s="904">
        <f t="shared" ref="CA102:CB108" si="188">IF(D102=0,0,AD102/D102*100)</f>
        <v>0</v>
      </c>
      <c r="CB102" s="906">
        <f t="shared" si="188"/>
        <v>0</v>
      </c>
      <c r="CC102" s="874"/>
      <c r="CD102" s="874"/>
      <c r="CE102" s="874"/>
      <c r="CF102" s="874"/>
      <c r="CG102" s="874"/>
      <c r="CH102" s="874"/>
      <c r="CI102" s="874"/>
      <c r="CJ102" s="874"/>
      <c r="CK102" s="874"/>
      <c r="CL102" s="874"/>
      <c r="CM102" s="874"/>
      <c r="CN102" s="874"/>
      <c r="CO102" s="874"/>
      <c r="CP102" s="874"/>
      <c r="CQ102" s="874"/>
      <c r="CR102" s="874"/>
      <c r="CS102" s="874"/>
      <c r="CT102" s="874"/>
      <c r="CU102" s="874"/>
      <c r="CV102" s="874"/>
      <c r="CW102" s="874"/>
      <c r="CX102" s="874"/>
      <c r="CY102" s="874"/>
      <c r="CZ102" s="874"/>
      <c r="DA102" s="874"/>
      <c r="DB102" s="874"/>
      <c r="DC102" s="874"/>
      <c r="DD102" s="874"/>
      <c r="DE102" s="874"/>
      <c r="DF102" s="874"/>
      <c r="DG102" s="874"/>
      <c r="DH102" s="874"/>
      <c r="DI102" s="874"/>
      <c r="DJ102" s="874"/>
      <c r="DK102" s="874"/>
      <c r="DL102" s="874"/>
      <c r="DM102" s="874"/>
      <c r="DN102" s="874"/>
      <c r="DO102" s="874"/>
      <c r="DP102" s="874"/>
      <c r="DQ102" s="874"/>
      <c r="DR102" s="874"/>
      <c r="DS102" s="874"/>
      <c r="DT102" s="874"/>
      <c r="DU102" s="874"/>
      <c r="DV102" s="874"/>
      <c r="DW102" s="874"/>
      <c r="DX102" s="874"/>
      <c r="DY102" s="874"/>
      <c r="DZ102" s="874"/>
      <c r="EA102" s="874"/>
    </row>
    <row r="103" spans="1:131" ht="20.25" hidden="1" outlineLevel="1">
      <c r="A103" s="883" t="s">
        <v>700</v>
      </c>
      <c r="B103" s="884"/>
      <c r="C103" s="899"/>
      <c r="D103" s="917">
        <v>0</v>
      </c>
      <c r="E103" s="917">
        <v>0</v>
      </c>
      <c r="F103" s="886">
        <f t="shared" si="178"/>
        <v>0</v>
      </c>
      <c r="G103" s="884"/>
      <c r="H103" s="899"/>
      <c r="I103" s="917">
        <v>0</v>
      </c>
      <c r="J103" s="917">
        <v>0</v>
      </c>
      <c r="K103" s="886">
        <f t="shared" si="179"/>
        <v>0</v>
      </c>
      <c r="L103" s="884"/>
      <c r="M103" s="899"/>
      <c r="N103" s="917">
        <v>0</v>
      </c>
      <c r="O103" s="917">
        <v>0</v>
      </c>
      <c r="P103" s="887">
        <f t="shared" si="180"/>
        <v>0</v>
      </c>
      <c r="Q103" s="884"/>
      <c r="R103" s="918"/>
      <c r="S103" s="919"/>
      <c r="T103" s="884"/>
      <c r="U103" s="918"/>
      <c r="V103" s="919"/>
      <c r="W103" s="884"/>
      <c r="X103" s="899"/>
      <c r="Y103" s="899">
        <f t="shared" ref="Y103:Z108" si="189">N103+R103-U103</f>
        <v>0</v>
      </c>
      <c r="Z103" s="899">
        <f t="shared" si="189"/>
        <v>0</v>
      </c>
      <c r="AA103" s="886">
        <f t="shared" si="181"/>
        <v>0</v>
      </c>
      <c r="AB103" s="884"/>
      <c r="AC103" s="899"/>
      <c r="AD103" s="918"/>
      <c r="AE103" s="918"/>
      <c r="AF103" s="886">
        <f t="shared" si="182"/>
        <v>0</v>
      </c>
      <c r="AG103" s="884"/>
      <c r="AH103" s="918"/>
      <c r="AI103" s="919"/>
      <c r="AJ103" s="884"/>
      <c r="AK103" s="918"/>
      <c r="AL103" s="919"/>
      <c r="AM103" s="884"/>
      <c r="AN103" s="918"/>
      <c r="AO103" s="919"/>
      <c r="AP103" s="884"/>
      <c r="AQ103" s="918"/>
      <c r="AR103" s="919"/>
      <c r="AS103" s="903"/>
      <c r="AT103" s="874"/>
      <c r="AU103" s="884"/>
      <c r="AV103" s="899"/>
      <c r="AW103" s="899">
        <f t="shared" ref="AW103:AX108" si="190">AD103-N103</f>
        <v>0</v>
      </c>
      <c r="AX103" s="899">
        <f t="shared" si="190"/>
        <v>0</v>
      </c>
      <c r="AY103" s="891"/>
      <c r="AZ103" s="904"/>
      <c r="BA103" s="904">
        <f t="shared" si="183"/>
        <v>0</v>
      </c>
      <c r="BB103" s="904">
        <f t="shared" si="183"/>
        <v>0</v>
      </c>
      <c r="BC103" s="884"/>
      <c r="BD103" s="899"/>
      <c r="BE103" s="899">
        <f t="shared" ref="BE103:BF108" si="191">AD103-N103-AH103-AK103-AN103-AQ103</f>
        <v>0</v>
      </c>
      <c r="BF103" s="899">
        <f t="shared" si="191"/>
        <v>0</v>
      </c>
      <c r="BG103" s="891">
        <f t="shared" si="184"/>
        <v>0</v>
      </c>
      <c r="BH103" s="904">
        <f t="shared" si="185"/>
        <v>0</v>
      </c>
      <c r="BI103" s="906">
        <f t="shared" si="186"/>
        <v>0</v>
      </c>
      <c r="BJ103" s="905"/>
      <c r="BK103" s="874"/>
      <c r="BL103" s="884"/>
      <c r="BM103" s="899"/>
      <c r="BN103" s="899">
        <f t="shared" ref="BN103:BO108" si="192">AD103-Y103</f>
        <v>0</v>
      </c>
      <c r="BO103" s="899">
        <f t="shared" si="192"/>
        <v>0</v>
      </c>
      <c r="BP103" s="884"/>
      <c r="BQ103" s="899"/>
      <c r="BR103" s="904">
        <f t="shared" si="187"/>
        <v>0</v>
      </c>
      <c r="BS103" s="906">
        <f t="shared" si="187"/>
        <v>0</v>
      </c>
      <c r="BT103" s="874"/>
      <c r="BU103" s="884"/>
      <c r="BV103" s="899"/>
      <c r="BW103" s="899">
        <f t="shared" ref="BW103:BX108" si="193">AD103-D103</f>
        <v>0</v>
      </c>
      <c r="BX103" s="899">
        <f t="shared" si="193"/>
        <v>0</v>
      </c>
      <c r="BY103" s="891"/>
      <c r="BZ103" s="904"/>
      <c r="CA103" s="904">
        <f t="shared" si="188"/>
        <v>0</v>
      </c>
      <c r="CB103" s="906">
        <f t="shared" si="188"/>
        <v>0</v>
      </c>
      <c r="CC103" s="874"/>
      <c r="CD103" s="874"/>
      <c r="CE103" s="874"/>
      <c r="CF103" s="874"/>
      <c r="CG103" s="874"/>
      <c r="CH103" s="874"/>
      <c r="CI103" s="874"/>
      <c r="CJ103" s="874"/>
      <c r="CK103" s="874"/>
      <c r="CL103" s="874"/>
      <c r="CM103" s="874"/>
      <c r="CN103" s="874"/>
      <c r="CO103" s="874"/>
      <c r="CP103" s="874"/>
      <c r="CQ103" s="874"/>
      <c r="CR103" s="874"/>
      <c r="CS103" s="874"/>
      <c r="CT103" s="874"/>
      <c r="CU103" s="874"/>
      <c r="CV103" s="874"/>
      <c r="CW103" s="874"/>
      <c r="CX103" s="874"/>
      <c r="CY103" s="874"/>
      <c r="CZ103" s="874"/>
      <c r="DA103" s="874"/>
      <c r="DB103" s="874"/>
      <c r="DC103" s="874"/>
      <c r="DD103" s="874"/>
      <c r="DE103" s="874"/>
      <c r="DF103" s="874"/>
      <c r="DG103" s="874"/>
      <c r="DH103" s="874"/>
      <c r="DI103" s="874"/>
      <c r="DJ103" s="874"/>
      <c r="DK103" s="874"/>
      <c r="DL103" s="874"/>
      <c r="DM103" s="874"/>
      <c r="DN103" s="874"/>
      <c r="DO103" s="874"/>
      <c r="DP103" s="874"/>
      <c r="DQ103" s="874"/>
      <c r="DR103" s="874"/>
      <c r="DS103" s="874"/>
      <c r="DT103" s="874"/>
      <c r="DU103" s="874"/>
      <c r="DV103" s="874"/>
      <c r="DW103" s="874"/>
      <c r="DX103" s="874"/>
      <c r="DY103" s="874"/>
      <c r="DZ103" s="874"/>
      <c r="EA103" s="874"/>
    </row>
    <row r="104" spans="1:131" ht="20.25" hidden="1" outlineLevel="1">
      <c r="A104" s="896" t="s">
        <v>701</v>
      </c>
      <c r="B104" s="884"/>
      <c r="C104" s="899"/>
      <c r="D104" s="917">
        <v>0</v>
      </c>
      <c r="E104" s="917">
        <v>0</v>
      </c>
      <c r="F104" s="886">
        <f t="shared" si="178"/>
        <v>0</v>
      </c>
      <c r="G104" s="884"/>
      <c r="H104" s="899"/>
      <c r="I104" s="917">
        <v>0</v>
      </c>
      <c r="J104" s="917">
        <v>0</v>
      </c>
      <c r="K104" s="886">
        <f t="shared" si="179"/>
        <v>0</v>
      </c>
      <c r="L104" s="884"/>
      <c r="M104" s="899"/>
      <c r="N104" s="917">
        <v>0</v>
      </c>
      <c r="O104" s="917">
        <v>0</v>
      </c>
      <c r="P104" s="887">
        <f t="shared" si="180"/>
        <v>0</v>
      </c>
      <c r="Q104" s="884"/>
      <c r="R104" s="918">
        <v>0</v>
      </c>
      <c r="S104" s="919">
        <v>0</v>
      </c>
      <c r="T104" s="884"/>
      <c r="U104" s="918">
        <v>0</v>
      </c>
      <c r="V104" s="919">
        <v>0</v>
      </c>
      <c r="W104" s="884"/>
      <c r="X104" s="899"/>
      <c r="Y104" s="899">
        <f>N104+R104-U104</f>
        <v>0</v>
      </c>
      <c r="Z104" s="899">
        <f>O104+S104-V104</f>
        <v>0</v>
      </c>
      <c r="AA104" s="886">
        <f t="shared" si="181"/>
        <v>0</v>
      </c>
      <c r="AB104" s="884"/>
      <c r="AC104" s="899"/>
      <c r="AD104" s="918">
        <v>0</v>
      </c>
      <c r="AE104" s="918">
        <v>0</v>
      </c>
      <c r="AF104" s="886">
        <f t="shared" si="182"/>
        <v>0</v>
      </c>
      <c r="AG104" s="884"/>
      <c r="AH104" s="918">
        <v>0</v>
      </c>
      <c r="AI104" s="919">
        <v>0</v>
      </c>
      <c r="AJ104" s="884"/>
      <c r="AK104" s="918">
        <v>0</v>
      </c>
      <c r="AL104" s="919">
        <v>0</v>
      </c>
      <c r="AM104" s="884"/>
      <c r="AN104" s="918">
        <v>0</v>
      </c>
      <c r="AO104" s="919">
        <v>0</v>
      </c>
      <c r="AP104" s="884"/>
      <c r="AQ104" s="918">
        <v>0</v>
      </c>
      <c r="AR104" s="919">
        <v>0</v>
      </c>
      <c r="AS104" s="903"/>
      <c r="AT104" s="874"/>
      <c r="AU104" s="884"/>
      <c r="AV104" s="899"/>
      <c r="AW104" s="899">
        <f t="shared" si="190"/>
        <v>0</v>
      </c>
      <c r="AX104" s="899">
        <f t="shared" si="190"/>
        <v>0</v>
      </c>
      <c r="AY104" s="891"/>
      <c r="AZ104" s="904"/>
      <c r="BA104" s="904">
        <f t="shared" si="183"/>
        <v>0</v>
      </c>
      <c r="BB104" s="904">
        <f t="shared" si="183"/>
        <v>0</v>
      </c>
      <c r="BC104" s="884"/>
      <c r="BD104" s="899"/>
      <c r="BE104" s="899">
        <f t="shared" si="191"/>
        <v>0</v>
      </c>
      <c r="BF104" s="899">
        <f t="shared" si="191"/>
        <v>0</v>
      </c>
      <c r="BG104" s="891">
        <f t="shared" si="184"/>
        <v>0</v>
      </c>
      <c r="BH104" s="904">
        <f t="shared" si="185"/>
        <v>0</v>
      </c>
      <c r="BI104" s="906">
        <f t="shared" si="186"/>
        <v>0</v>
      </c>
      <c r="BJ104" s="905"/>
      <c r="BK104" s="874"/>
      <c r="BL104" s="884"/>
      <c r="BM104" s="899"/>
      <c r="BN104" s="899">
        <f t="shared" si="192"/>
        <v>0</v>
      </c>
      <c r="BO104" s="899">
        <f t="shared" si="192"/>
        <v>0</v>
      </c>
      <c r="BP104" s="884"/>
      <c r="BQ104" s="899"/>
      <c r="BR104" s="904">
        <f t="shared" si="187"/>
        <v>0</v>
      </c>
      <c r="BS104" s="906">
        <f t="shared" si="187"/>
        <v>0</v>
      </c>
      <c r="BT104" s="874"/>
      <c r="BU104" s="884"/>
      <c r="BV104" s="899"/>
      <c r="BW104" s="899">
        <f t="shared" si="193"/>
        <v>0</v>
      </c>
      <c r="BX104" s="899">
        <f t="shared" si="193"/>
        <v>0</v>
      </c>
      <c r="BY104" s="891"/>
      <c r="BZ104" s="904"/>
      <c r="CA104" s="904">
        <f t="shared" si="188"/>
        <v>0</v>
      </c>
      <c r="CB104" s="906">
        <f t="shared" si="188"/>
        <v>0</v>
      </c>
      <c r="CC104" s="874"/>
      <c r="CD104" s="874"/>
      <c r="CE104" s="874"/>
      <c r="CF104" s="874"/>
      <c r="CG104" s="874"/>
      <c r="CH104" s="874"/>
      <c r="CI104" s="874"/>
      <c r="CJ104" s="874"/>
      <c r="CK104" s="874"/>
      <c r="CL104" s="874"/>
      <c r="CM104" s="874"/>
      <c r="CN104" s="874"/>
      <c r="CO104" s="874"/>
      <c r="CP104" s="874"/>
      <c r="CQ104" s="874"/>
      <c r="CR104" s="874"/>
      <c r="CS104" s="874"/>
      <c r="CT104" s="874"/>
      <c r="CU104" s="874"/>
      <c r="CV104" s="874"/>
      <c r="CW104" s="874"/>
      <c r="CX104" s="874"/>
      <c r="CY104" s="874"/>
      <c r="CZ104" s="874"/>
      <c r="DA104" s="874"/>
      <c r="DB104" s="874"/>
      <c r="DC104" s="874"/>
      <c r="DD104" s="874"/>
      <c r="DE104" s="874"/>
      <c r="DF104" s="874"/>
      <c r="DG104" s="874"/>
      <c r="DH104" s="874"/>
      <c r="DI104" s="874"/>
      <c r="DJ104" s="874"/>
      <c r="DK104" s="874"/>
      <c r="DL104" s="874"/>
      <c r="DM104" s="874"/>
      <c r="DN104" s="874"/>
      <c r="DO104" s="874"/>
      <c r="DP104" s="874"/>
      <c r="DQ104" s="874"/>
      <c r="DR104" s="874"/>
      <c r="DS104" s="874"/>
      <c r="DT104" s="874"/>
      <c r="DU104" s="874"/>
      <c r="DV104" s="874"/>
      <c r="DW104" s="874"/>
      <c r="DX104" s="874"/>
      <c r="DY104" s="874"/>
      <c r="DZ104" s="874"/>
      <c r="EA104" s="874"/>
    </row>
    <row r="105" spans="1:131" ht="20.25" hidden="1" outlineLevel="1">
      <c r="A105" s="896" t="s">
        <v>702</v>
      </c>
      <c r="B105" s="884"/>
      <c r="C105" s="899"/>
      <c r="D105" s="917">
        <v>0</v>
      </c>
      <c r="E105" s="917">
        <v>0</v>
      </c>
      <c r="F105" s="886">
        <f t="shared" si="178"/>
        <v>0</v>
      </c>
      <c r="G105" s="884"/>
      <c r="H105" s="899"/>
      <c r="I105" s="917">
        <v>0</v>
      </c>
      <c r="J105" s="917">
        <v>0</v>
      </c>
      <c r="K105" s="886">
        <f t="shared" si="179"/>
        <v>0</v>
      </c>
      <c r="L105" s="884"/>
      <c r="M105" s="899"/>
      <c r="N105" s="917">
        <v>0</v>
      </c>
      <c r="O105" s="917">
        <v>0</v>
      </c>
      <c r="P105" s="887">
        <f t="shared" si="180"/>
        <v>0</v>
      </c>
      <c r="Q105" s="884"/>
      <c r="R105" s="918"/>
      <c r="S105" s="919"/>
      <c r="T105" s="884"/>
      <c r="U105" s="918"/>
      <c r="V105" s="919"/>
      <c r="W105" s="884"/>
      <c r="X105" s="899"/>
      <c r="Y105" s="899">
        <f t="shared" si="189"/>
        <v>0</v>
      </c>
      <c r="Z105" s="899">
        <f t="shared" si="189"/>
        <v>0</v>
      </c>
      <c r="AA105" s="886">
        <f t="shared" si="181"/>
        <v>0</v>
      </c>
      <c r="AB105" s="884"/>
      <c r="AC105" s="899"/>
      <c r="AD105" s="918"/>
      <c r="AE105" s="918"/>
      <c r="AF105" s="886">
        <f t="shared" si="182"/>
        <v>0</v>
      </c>
      <c r="AG105" s="884"/>
      <c r="AH105" s="918"/>
      <c r="AI105" s="919"/>
      <c r="AJ105" s="884"/>
      <c r="AK105" s="918"/>
      <c r="AL105" s="919"/>
      <c r="AM105" s="884"/>
      <c r="AN105" s="918"/>
      <c r="AO105" s="919"/>
      <c r="AP105" s="884"/>
      <c r="AQ105" s="918"/>
      <c r="AR105" s="919"/>
      <c r="AS105" s="903"/>
      <c r="AT105" s="874"/>
      <c r="AU105" s="884"/>
      <c r="AV105" s="899"/>
      <c r="AW105" s="899">
        <f t="shared" si="190"/>
        <v>0</v>
      </c>
      <c r="AX105" s="899">
        <f t="shared" si="190"/>
        <v>0</v>
      </c>
      <c r="AY105" s="891"/>
      <c r="AZ105" s="904"/>
      <c r="BA105" s="904">
        <f t="shared" si="183"/>
        <v>0</v>
      </c>
      <c r="BB105" s="904">
        <f t="shared" si="183"/>
        <v>0</v>
      </c>
      <c r="BC105" s="884"/>
      <c r="BD105" s="899"/>
      <c r="BE105" s="899">
        <f t="shared" si="191"/>
        <v>0</v>
      </c>
      <c r="BF105" s="899">
        <f t="shared" si="191"/>
        <v>0</v>
      </c>
      <c r="BG105" s="891">
        <f t="shared" si="184"/>
        <v>0</v>
      </c>
      <c r="BH105" s="904">
        <f t="shared" si="185"/>
        <v>0</v>
      </c>
      <c r="BI105" s="906">
        <f t="shared" si="186"/>
        <v>0</v>
      </c>
      <c r="BJ105" s="905"/>
      <c r="BK105" s="874"/>
      <c r="BL105" s="884"/>
      <c r="BM105" s="899"/>
      <c r="BN105" s="899">
        <f t="shared" si="192"/>
        <v>0</v>
      </c>
      <c r="BO105" s="899">
        <f t="shared" si="192"/>
        <v>0</v>
      </c>
      <c r="BP105" s="884"/>
      <c r="BQ105" s="899"/>
      <c r="BR105" s="904">
        <f t="shared" si="187"/>
        <v>0</v>
      </c>
      <c r="BS105" s="906">
        <f t="shared" si="187"/>
        <v>0</v>
      </c>
      <c r="BT105" s="874"/>
      <c r="BU105" s="884"/>
      <c r="BV105" s="899"/>
      <c r="BW105" s="899">
        <f t="shared" si="193"/>
        <v>0</v>
      </c>
      <c r="BX105" s="899">
        <f t="shared" si="193"/>
        <v>0</v>
      </c>
      <c r="BY105" s="891"/>
      <c r="BZ105" s="904"/>
      <c r="CA105" s="904">
        <f t="shared" si="188"/>
        <v>0</v>
      </c>
      <c r="CB105" s="906">
        <f t="shared" si="188"/>
        <v>0</v>
      </c>
      <c r="CC105" s="874"/>
      <c r="CD105" s="874"/>
      <c r="CE105" s="874"/>
      <c r="CF105" s="874"/>
      <c r="CG105" s="874"/>
      <c r="CH105" s="874"/>
      <c r="CI105" s="874"/>
      <c r="CJ105" s="874"/>
      <c r="CK105" s="874"/>
      <c r="CL105" s="874"/>
      <c r="CM105" s="874"/>
      <c r="CN105" s="874"/>
      <c r="CO105" s="874"/>
      <c r="CP105" s="874"/>
      <c r="CQ105" s="874"/>
      <c r="CR105" s="874"/>
      <c r="CS105" s="874"/>
      <c r="CT105" s="874"/>
      <c r="CU105" s="874"/>
      <c r="CV105" s="874"/>
      <c r="CW105" s="874"/>
      <c r="CX105" s="874"/>
      <c r="CY105" s="874"/>
      <c r="CZ105" s="874"/>
      <c r="DA105" s="874"/>
      <c r="DB105" s="874"/>
      <c r="DC105" s="874"/>
      <c r="DD105" s="874"/>
      <c r="DE105" s="874"/>
      <c r="DF105" s="874"/>
      <c r="DG105" s="874"/>
      <c r="DH105" s="874"/>
      <c r="DI105" s="874"/>
      <c r="DJ105" s="874"/>
      <c r="DK105" s="874"/>
      <c r="DL105" s="874"/>
      <c r="DM105" s="874"/>
      <c r="DN105" s="874"/>
      <c r="DO105" s="874"/>
      <c r="DP105" s="874"/>
      <c r="DQ105" s="874"/>
      <c r="DR105" s="874"/>
      <c r="DS105" s="874"/>
      <c r="DT105" s="874"/>
      <c r="DU105" s="874"/>
      <c r="DV105" s="874"/>
      <c r="DW105" s="874"/>
      <c r="DX105" s="874"/>
      <c r="DY105" s="874"/>
      <c r="DZ105" s="874"/>
      <c r="EA105" s="874"/>
    </row>
    <row r="106" spans="1:131" ht="20.25" hidden="1" outlineLevel="1">
      <c r="A106" s="896" t="s">
        <v>703</v>
      </c>
      <c r="B106" s="884"/>
      <c r="C106" s="899"/>
      <c r="D106" s="917">
        <v>0</v>
      </c>
      <c r="E106" s="917">
        <v>0</v>
      </c>
      <c r="F106" s="886">
        <f t="shared" si="178"/>
        <v>0</v>
      </c>
      <c r="G106" s="884"/>
      <c r="H106" s="899"/>
      <c r="I106" s="917">
        <v>0</v>
      </c>
      <c r="J106" s="917">
        <v>0</v>
      </c>
      <c r="K106" s="886">
        <f t="shared" si="179"/>
        <v>0</v>
      </c>
      <c r="L106" s="884"/>
      <c r="M106" s="899"/>
      <c r="N106" s="917">
        <v>0</v>
      </c>
      <c r="O106" s="917">
        <v>0</v>
      </c>
      <c r="P106" s="887">
        <f t="shared" si="180"/>
        <v>0</v>
      </c>
      <c r="Q106" s="884"/>
      <c r="R106" s="918"/>
      <c r="S106" s="919"/>
      <c r="T106" s="884"/>
      <c r="U106" s="918"/>
      <c r="V106" s="919"/>
      <c r="W106" s="884"/>
      <c r="X106" s="899"/>
      <c r="Y106" s="899">
        <f t="shared" si="189"/>
        <v>0</v>
      </c>
      <c r="Z106" s="899">
        <f t="shared" si="189"/>
        <v>0</v>
      </c>
      <c r="AA106" s="886">
        <f t="shared" si="181"/>
        <v>0</v>
      </c>
      <c r="AB106" s="884"/>
      <c r="AC106" s="899"/>
      <c r="AD106" s="918"/>
      <c r="AE106" s="918"/>
      <c r="AF106" s="886">
        <f t="shared" si="182"/>
        <v>0</v>
      </c>
      <c r="AG106" s="884"/>
      <c r="AH106" s="918"/>
      <c r="AI106" s="919"/>
      <c r="AJ106" s="884"/>
      <c r="AK106" s="918"/>
      <c r="AL106" s="919"/>
      <c r="AM106" s="884"/>
      <c r="AN106" s="918"/>
      <c r="AO106" s="919"/>
      <c r="AP106" s="884"/>
      <c r="AQ106" s="918"/>
      <c r="AR106" s="919"/>
      <c r="AS106" s="903"/>
      <c r="AT106" s="874"/>
      <c r="AU106" s="884"/>
      <c r="AV106" s="899"/>
      <c r="AW106" s="899">
        <f t="shared" si="190"/>
        <v>0</v>
      </c>
      <c r="AX106" s="899">
        <f t="shared" si="190"/>
        <v>0</v>
      </c>
      <c r="AY106" s="891"/>
      <c r="AZ106" s="904"/>
      <c r="BA106" s="904">
        <f t="shared" si="183"/>
        <v>0</v>
      </c>
      <c r="BB106" s="904">
        <f t="shared" si="183"/>
        <v>0</v>
      </c>
      <c r="BC106" s="884"/>
      <c r="BD106" s="899"/>
      <c r="BE106" s="899">
        <f t="shared" si="191"/>
        <v>0</v>
      </c>
      <c r="BF106" s="899">
        <f t="shared" si="191"/>
        <v>0</v>
      </c>
      <c r="BG106" s="891">
        <f t="shared" si="184"/>
        <v>0</v>
      </c>
      <c r="BH106" s="904">
        <f t="shared" si="185"/>
        <v>0</v>
      </c>
      <c r="BI106" s="906">
        <f t="shared" si="186"/>
        <v>0</v>
      </c>
      <c r="BJ106" s="905"/>
      <c r="BK106" s="874"/>
      <c r="BL106" s="884"/>
      <c r="BM106" s="899"/>
      <c r="BN106" s="899">
        <f t="shared" si="192"/>
        <v>0</v>
      </c>
      <c r="BO106" s="899">
        <f t="shared" si="192"/>
        <v>0</v>
      </c>
      <c r="BP106" s="884"/>
      <c r="BQ106" s="899"/>
      <c r="BR106" s="904">
        <f t="shared" si="187"/>
        <v>0</v>
      </c>
      <c r="BS106" s="906">
        <f t="shared" si="187"/>
        <v>0</v>
      </c>
      <c r="BT106" s="874"/>
      <c r="BU106" s="884"/>
      <c r="BV106" s="899"/>
      <c r="BW106" s="899">
        <f t="shared" si="193"/>
        <v>0</v>
      </c>
      <c r="BX106" s="899">
        <f t="shared" si="193"/>
        <v>0</v>
      </c>
      <c r="BY106" s="891"/>
      <c r="BZ106" s="904"/>
      <c r="CA106" s="904">
        <f t="shared" si="188"/>
        <v>0</v>
      </c>
      <c r="CB106" s="906">
        <f t="shared" si="188"/>
        <v>0</v>
      </c>
      <c r="CC106" s="874"/>
      <c r="CD106" s="874"/>
      <c r="CE106" s="874"/>
      <c r="CF106" s="874"/>
      <c r="CG106" s="874"/>
      <c r="CH106" s="874"/>
      <c r="CI106" s="874"/>
      <c r="CJ106" s="874"/>
      <c r="CK106" s="874"/>
      <c r="CL106" s="874"/>
      <c r="CM106" s="874"/>
      <c r="CN106" s="874"/>
      <c r="CO106" s="874"/>
      <c r="CP106" s="874"/>
      <c r="CQ106" s="874"/>
      <c r="CR106" s="874"/>
      <c r="CS106" s="874"/>
      <c r="CT106" s="874"/>
      <c r="CU106" s="874"/>
      <c r="CV106" s="874"/>
      <c r="CW106" s="874"/>
      <c r="CX106" s="874"/>
      <c r="CY106" s="874"/>
      <c r="CZ106" s="874"/>
      <c r="DA106" s="874"/>
      <c r="DB106" s="874"/>
      <c r="DC106" s="874"/>
      <c r="DD106" s="874"/>
      <c r="DE106" s="874"/>
      <c r="DF106" s="874"/>
      <c r="DG106" s="874"/>
      <c r="DH106" s="874"/>
      <c r="DI106" s="874"/>
      <c r="DJ106" s="874"/>
      <c r="DK106" s="874"/>
      <c r="DL106" s="874"/>
      <c r="DM106" s="874"/>
      <c r="DN106" s="874"/>
      <c r="DO106" s="874"/>
      <c r="DP106" s="874"/>
      <c r="DQ106" s="874"/>
      <c r="DR106" s="874"/>
      <c r="DS106" s="874"/>
      <c r="DT106" s="874"/>
      <c r="DU106" s="874"/>
      <c r="DV106" s="874"/>
      <c r="DW106" s="874"/>
      <c r="DX106" s="874"/>
      <c r="DY106" s="874"/>
      <c r="DZ106" s="874"/>
      <c r="EA106" s="874"/>
    </row>
    <row r="107" spans="1:131" ht="20.25" hidden="1" outlineLevel="1">
      <c r="A107" s="896" t="s">
        <v>704</v>
      </c>
      <c r="B107" s="884"/>
      <c r="C107" s="899"/>
      <c r="D107" s="917">
        <v>0</v>
      </c>
      <c r="E107" s="917">
        <v>0</v>
      </c>
      <c r="F107" s="886">
        <f t="shared" si="178"/>
        <v>0</v>
      </c>
      <c r="G107" s="884"/>
      <c r="H107" s="899"/>
      <c r="I107" s="917">
        <v>0</v>
      </c>
      <c r="J107" s="917">
        <v>0</v>
      </c>
      <c r="K107" s="886">
        <f t="shared" si="179"/>
        <v>0</v>
      </c>
      <c r="L107" s="884"/>
      <c r="M107" s="899"/>
      <c r="N107" s="917">
        <v>0</v>
      </c>
      <c r="O107" s="917">
        <v>0</v>
      </c>
      <c r="P107" s="887">
        <f t="shared" si="180"/>
        <v>0</v>
      </c>
      <c r="Q107" s="884"/>
      <c r="R107" s="918"/>
      <c r="S107" s="919"/>
      <c r="T107" s="884"/>
      <c r="U107" s="918"/>
      <c r="V107" s="919"/>
      <c r="W107" s="884"/>
      <c r="X107" s="899"/>
      <c r="Y107" s="899">
        <f t="shared" si="189"/>
        <v>0</v>
      </c>
      <c r="Z107" s="899">
        <f t="shared" si="189"/>
        <v>0</v>
      </c>
      <c r="AA107" s="886">
        <f t="shared" si="181"/>
        <v>0</v>
      </c>
      <c r="AB107" s="884"/>
      <c r="AC107" s="899"/>
      <c r="AD107" s="918"/>
      <c r="AE107" s="918"/>
      <c r="AF107" s="886">
        <f t="shared" si="182"/>
        <v>0</v>
      </c>
      <c r="AG107" s="884"/>
      <c r="AH107" s="918"/>
      <c r="AI107" s="919"/>
      <c r="AJ107" s="884"/>
      <c r="AK107" s="918"/>
      <c r="AL107" s="919"/>
      <c r="AM107" s="884"/>
      <c r="AN107" s="918"/>
      <c r="AO107" s="919"/>
      <c r="AP107" s="884"/>
      <c r="AQ107" s="918"/>
      <c r="AR107" s="919"/>
      <c r="AS107" s="903"/>
      <c r="AT107" s="874"/>
      <c r="AU107" s="884"/>
      <c r="AV107" s="899"/>
      <c r="AW107" s="899">
        <f t="shared" si="190"/>
        <v>0</v>
      </c>
      <c r="AX107" s="899">
        <f t="shared" si="190"/>
        <v>0</v>
      </c>
      <c r="AY107" s="891"/>
      <c r="AZ107" s="904"/>
      <c r="BA107" s="904">
        <f t="shared" si="183"/>
        <v>0</v>
      </c>
      <c r="BB107" s="904">
        <f t="shared" si="183"/>
        <v>0</v>
      </c>
      <c r="BC107" s="884"/>
      <c r="BD107" s="899"/>
      <c r="BE107" s="899">
        <f t="shared" si="191"/>
        <v>0</v>
      </c>
      <c r="BF107" s="899">
        <f t="shared" si="191"/>
        <v>0</v>
      </c>
      <c r="BG107" s="891">
        <f t="shared" si="184"/>
        <v>0</v>
      </c>
      <c r="BH107" s="904">
        <f t="shared" si="185"/>
        <v>0</v>
      </c>
      <c r="BI107" s="906">
        <f t="shared" si="186"/>
        <v>0</v>
      </c>
      <c r="BJ107" s="905"/>
      <c r="BK107" s="874"/>
      <c r="BL107" s="884"/>
      <c r="BM107" s="899"/>
      <c r="BN107" s="899">
        <f t="shared" si="192"/>
        <v>0</v>
      </c>
      <c r="BO107" s="899">
        <f t="shared" si="192"/>
        <v>0</v>
      </c>
      <c r="BP107" s="884"/>
      <c r="BQ107" s="899"/>
      <c r="BR107" s="904">
        <f t="shared" si="187"/>
        <v>0</v>
      </c>
      <c r="BS107" s="906">
        <f t="shared" si="187"/>
        <v>0</v>
      </c>
      <c r="BT107" s="874"/>
      <c r="BU107" s="884"/>
      <c r="BV107" s="899"/>
      <c r="BW107" s="899">
        <f t="shared" si="193"/>
        <v>0</v>
      </c>
      <c r="BX107" s="899">
        <f t="shared" si="193"/>
        <v>0</v>
      </c>
      <c r="BY107" s="891"/>
      <c r="BZ107" s="904"/>
      <c r="CA107" s="904">
        <f t="shared" si="188"/>
        <v>0</v>
      </c>
      <c r="CB107" s="906">
        <f t="shared" si="188"/>
        <v>0</v>
      </c>
      <c r="CC107" s="874"/>
      <c r="CD107" s="874"/>
      <c r="CE107" s="874"/>
      <c r="CF107" s="874"/>
      <c r="CG107" s="874"/>
      <c r="CH107" s="874"/>
      <c r="CI107" s="874"/>
      <c r="CJ107" s="874"/>
      <c r="CK107" s="874"/>
      <c r="CL107" s="874"/>
      <c r="CM107" s="874"/>
      <c r="CN107" s="874"/>
      <c r="CO107" s="874"/>
      <c r="CP107" s="874"/>
      <c r="CQ107" s="874"/>
      <c r="CR107" s="874"/>
      <c r="CS107" s="874"/>
      <c r="CT107" s="874"/>
      <c r="CU107" s="874"/>
      <c r="CV107" s="874"/>
      <c r="CW107" s="874"/>
      <c r="CX107" s="874"/>
      <c r="CY107" s="874"/>
      <c r="CZ107" s="874"/>
      <c r="DA107" s="874"/>
      <c r="DB107" s="874"/>
      <c r="DC107" s="874"/>
      <c r="DD107" s="874"/>
      <c r="DE107" s="874"/>
      <c r="DF107" s="874"/>
      <c r="DG107" s="874"/>
      <c r="DH107" s="874"/>
      <c r="DI107" s="874"/>
      <c r="DJ107" s="874"/>
      <c r="DK107" s="874"/>
      <c r="DL107" s="874"/>
      <c r="DM107" s="874"/>
      <c r="DN107" s="874"/>
      <c r="DO107" s="874"/>
      <c r="DP107" s="874"/>
      <c r="DQ107" s="874"/>
      <c r="DR107" s="874"/>
      <c r="DS107" s="874"/>
      <c r="DT107" s="874"/>
      <c r="DU107" s="874"/>
      <c r="DV107" s="874"/>
      <c r="DW107" s="874"/>
      <c r="DX107" s="874"/>
      <c r="DY107" s="874"/>
      <c r="DZ107" s="874"/>
      <c r="EA107" s="874"/>
    </row>
    <row r="108" spans="1:131" ht="20.25" hidden="1" outlineLevel="1">
      <c r="A108" s="897" t="s">
        <v>705</v>
      </c>
      <c r="B108" s="884"/>
      <c r="C108" s="899"/>
      <c r="D108" s="917">
        <v>0</v>
      </c>
      <c r="E108" s="917">
        <v>0</v>
      </c>
      <c r="F108" s="886">
        <f t="shared" si="178"/>
        <v>0</v>
      </c>
      <c r="G108" s="884"/>
      <c r="H108" s="899"/>
      <c r="I108" s="917">
        <v>0</v>
      </c>
      <c r="J108" s="917">
        <v>0</v>
      </c>
      <c r="K108" s="886">
        <f t="shared" si="179"/>
        <v>0</v>
      </c>
      <c r="L108" s="884"/>
      <c r="M108" s="899"/>
      <c r="N108" s="917">
        <v>0</v>
      </c>
      <c r="O108" s="917">
        <v>0</v>
      </c>
      <c r="P108" s="887">
        <f t="shared" si="180"/>
        <v>0</v>
      </c>
      <c r="Q108" s="884"/>
      <c r="R108" s="918"/>
      <c r="S108" s="919"/>
      <c r="T108" s="884"/>
      <c r="U108" s="918"/>
      <c r="V108" s="919"/>
      <c r="W108" s="884"/>
      <c r="X108" s="899"/>
      <c r="Y108" s="899">
        <f t="shared" si="189"/>
        <v>0</v>
      </c>
      <c r="Z108" s="899">
        <f t="shared" si="189"/>
        <v>0</v>
      </c>
      <c r="AA108" s="886">
        <f t="shared" si="181"/>
        <v>0</v>
      </c>
      <c r="AB108" s="884"/>
      <c r="AC108" s="899"/>
      <c r="AD108" s="918"/>
      <c r="AE108" s="918"/>
      <c r="AF108" s="886">
        <f t="shared" si="182"/>
        <v>0</v>
      </c>
      <c r="AG108" s="884"/>
      <c r="AH108" s="918"/>
      <c r="AI108" s="919"/>
      <c r="AJ108" s="884"/>
      <c r="AK108" s="918"/>
      <c r="AL108" s="919"/>
      <c r="AM108" s="884"/>
      <c r="AN108" s="918"/>
      <c r="AO108" s="919"/>
      <c r="AP108" s="884"/>
      <c r="AQ108" s="918"/>
      <c r="AR108" s="919"/>
      <c r="AS108" s="903"/>
      <c r="AT108" s="874"/>
      <c r="AU108" s="884"/>
      <c r="AV108" s="899"/>
      <c r="AW108" s="899">
        <f t="shared" si="190"/>
        <v>0</v>
      </c>
      <c r="AX108" s="899">
        <f t="shared" si="190"/>
        <v>0</v>
      </c>
      <c r="AY108" s="891"/>
      <c r="AZ108" s="904"/>
      <c r="BA108" s="904">
        <f t="shared" si="183"/>
        <v>0</v>
      </c>
      <c r="BB108" s="904">
        <f t="shared" si="183"/>
        <v>0</v>
      </c>
      <c r="BC108" s="884"/>
      <c r="BD108" s="899"/>
      <c r="BE108" s="899">
        <f t="shared" si="191"/>
        <v>0</v>
      </c>
      <c r="BF108" s="899">
        <f t="shared" si="191"/>
        <v>0</v>
      </c>
      <c r="BG108" s="891">
        <f t="shared" si="184"/>
        <v>0</v>
      </c>
      <c r="BH108" s="904">
        <f t="shared" si="185"/>
        <v>0</v>
      </c>
      <c r="BI108" s="906">
        <f t="shared" si="186"/>
        <v>0</v>
      </c>
      <c r="BJ108" s="905"/>
      <c r="BK108" s="874"/>
      <c r="BL108" s="884"/>
      <c r="BM108" s="899"/>
      <c r="BN108" s="899">
        <f t="shared" si="192"/>
        <v>0</v>
      </c>
      <c r="BO108" s="899">
        <f t="shared" si="192"/>
        <v>0</v>
      </c>
      <c r="BP108" s="884"/>
      <c r="BQ108" s="899"/>
      <c r="BR108" s="904">
        <f t="shared" si="187"/>
        <v>0</v>
      </c>
      <c r="BS108" s="906">
        <f t="shared" si="187"/>
        <v>0</v>
      </c>
      <c r="BT108" s="874"/>
      <c r="BU108" s="884"/>
      <c r="BV108" s="899"/>
      <c r="BW108" s="899">
        <f t="shared" si="193"/>
        <v>0</v>
      </c>
      <c r="BX108" s="899">
        <f t="shared" si="193"/>
        <v>0</v>
      </c>
      <c r="BY108" s="891"/>
      <c r="BZ108" s="904"/>
      <c r="CA108" s="904">
        <f t="shared" si="188"/>
        <v>0</v>
      </c>
      <c r="CB108" s="906">
        <f t="shared" si="188"/>
        <v>0</v>
      </c>
      <c r="CC108" s="874"/>
      <c r="CD108" s="874"/>
      <c r="CE108" s="874"/>
      <c r="CF108" s="874"/>
      <c r="CG108" s="874"/>
      <c r="CH108" s="874"/>
      <c r="CI108" s="874"/>
      <c r="CJ108" s="874"/>
      <c r="CK108" s="874"/>
      <c r="CL108" s="874"/>
      <c r="CM108" s="874"/>
      <c r="CN108" s="874"/>
      <c r="CO108" s="874"/>
      <c r="CP108" s="874"/>
      <c r="CQ108" s="874"/>
      <c r="CR108" s="874"/>
      <c r="CS108" s="874"/>
      <c r="CT108" s="874"/>
      <c r="CU108" s="874"/>
      <c r="CV108" s="874"/>
      <c r="CW108" s="874"/>
      <c r="CX108" s="874"/>
      <c r="CY108" s="874"/>
      <c r="CZ108" s="874"/>
      <c r="DA108" s="874"/>
      <c r="DB108" s="874"/>
      <c r="DC108" s="874"/>
      <c r="DD108" s="874"/>
      <c r="DE108" s="874"/>
      <c r="DF108" s="874"/>
      <c r="DG108" s="874"/>
      <c r="DH108" s="874"/>
      <c r="DI108" s="874"/>
      <c r="DJ108" s="874"/>
      <c r="DK108" s="874"/>
      <c r="DL108" s="874"/>
      <c r="DM108" s="874"/>
      <c r="DN108" s="874"/>
      <c r="DO108" s="874"/>
      <c r="DP108" s="874"/>
      <c r="DQ108" s="874"/>
      <c r="DR108" s="874"/>
      <c r="DS108" s="874"/>
      <c r="DT108" s="874"/>
      <c r="DU108" s="874"/>
      <c r="DV108" s="874"/>
      <c r="DW108" s="874"/>
      <c r="DX108" s="874"/>
      <c r="DY108" s="874"/>
      <c r="DZ108" s="874"/>
      <c r="EA108" s="874"/>
    </row>
    <row r="109" spans="1:131" ht="20.25" hidden="1" outlineLevel="1">
      <c r="A109" s="896" t="s">
        <v>706</v>
      </c>
      <c r="B109" s="884"/>
      <c r="C109" s="917">
        <v>0</v>
      </c>
      <c r="D109" s="899"/>
      <c r="E109" s="899"/>
      <c r="F109" s="902"/>
      <c r="G109" s="884"/>
      <c r="H109" s="917">
        <v>0</v>
      </c>
      <c r="I109" s="899"/>
      <c r="J109" s="899"/>
      <c r="K109" s="902"/>
      <c r="L109" s="884"/>
      <c r="M109" s="917">
        <v>0</v>
      </c>
      <c r="N109" s="899"/>
      <c r="O109" s="899"/>
      <c r="P109" s="907"/>
      <c r="Q109" s="920"/>
      <c r="R109" s="899"/>
      <c r="S109" s="902"/>
      <c r="T109" s="920"/>
      <c r="U109" s="899"/>
      <c r="V109" s="902"/>
      <c r="W109" s="884"/>
      <c r="X109" s="899">
        <f>M109+Q109-T109</f>
        <v>0</v>
      </c>
      <c r="Y109" s="899"/>
      <c r="Z109" s="899"/>
      <c r="AA109" s="902"/>
      <c r="AB109" s="884"/>
      <c r="AC109" s="918"/>
      <c r="AD109" s="899"/>
      <c r="AE109" s="899"/>
      <c r="AF109" s="902"/>
      <c r="AG109" s="920"/>
      <c r="AH109" s="899"/>
      <c r="AI109" s="902"/>
      <c r="AJ109" s="920"/>
      <c r="AK109" s="899"/>
      <c r="AL109" s="902"/>
      <c r="AM109" s="920"/>
      <c r="AN109" s="899"/>
      <c r="AO109" s="902"/>
      <c r="AP109" s="920"/>
      <c r="AQ109" s="899"/>
      <c r="AR109" s="902"/>
      <c r="AS109" s="903"/>
      <c r="AT109" s="874"/>
      <c r="AU109" s="884"/>
      <c r="AV109" s="899">
        <f>AC109-M109</f>
        <v>0</v>
      </c>
      <c r="AW109" s="899"/>
      <c r="AX109" s="899"/>
      <c r="AY109" s="891"/>
      <c r="AZ109" s="904">
        <f>IF(M109=0,0,AC109/M109*100)</f>
        <v>0</v>
      </c>
      <c r="BA109" s="904"/>
      <c r="BB109" s="904"/>
      <c r="BC109" s="884"/>
      <c r="BD109" s="899">
        <f>AC109-M109-AG109-AJ109-AM109-AP109</f>
        <v>0</v>
      </c>
      <c r="BE109" s="899"/>
      <c r="BF109" s="899"/>
      <c r="BG109" s="884"/>
      <c r="BH109" s="899"/>
      <c r="BI109" s="902"/>
      <c r="BJ109" s="905"/>
      <c r="BK109" s="874"/>
      <c r="BL109" s="884"/>
      <c r="BM109" s="899">
        <f>AC109-X109</f>
        <v>0</v>
      </c>
      <c r="BN109" s="899"/>
      <c r="BO109" s="899"/>
      <c r="BP109" s="884"/>
      <c r="BQ109" s="904">
        <f>IF(X109=0,0,AC109/X109*100)</f>
        <v>0</v>
      </c>
      <c r="BR109" s="899"/>
      <c r="BS109" s="902"/>
      <c r="BT109" s="874"/>
      <c r="BU109" s="884"/>
      <c r="BV109" s="899">
        <f>AC109-C109</f>
        <v>0</v>
      </c>
      <c r="BW109" s="899"/>
      <c r="BX109" s="899"/>
      <c r="BY109" s="891"/>
      <c r="BZ109" s="904">
        <f>IF(C109=0,0,AC109/C109*100)</f>
        <v>0</v>
      </c>
      <c r="CA109" s="904"/>
      <c r="CB109" s="906"/>
      <c r="CC109" s="874"/>
      <c r="CD109" s="874"/>
      <c r="CE109" s="874"/>
      <c r="CF109" s="874"/>
      <c r="CG109" s="874"/>
      <c r="CH109" s="874"/>
      <c r="CI109" s="874"/>
      <c r="CJ109" s="874"/>
      <c r="CK109" s="874"/>
      <c r="CL109" s="874"/>
      <c r="CM109" s="874"/>
      <c r="CN109" s="874"/>
      <c r="CO109" s="874"/>
      <c r="CP109" s="874"/>
      <c r="CQ109" s="874"/>
      <c r="CR109" s="874"/>
      <c r="CS109" s="874"/>
      <c r="CT109" s="874"/>
      <c r="CU109" s="874"/>
      <c r="CV109" s="874"/>
      <c r="CW109" s="874"/>
      <c r="CX109" s="874"/>
      <c r="CY109" s="874"/>
      <c r="CZ109" s="874"/>
      <c r="DA109" s="874"/>
      <c r="DB109" s="874"/>
      <c r="DC109" s="874"/>
      <c r="DD109" s="874"/>
      <c r="DE109" s="874"/>
      <c r="DF109" s="874"/>
      <c r="DG109" s="874"/>
      <c r="DH109" s="874"/>
      <c r="DI109" s="874"/>
      <c r="DJ109" s="874"/>
      <c r="DK109" s="874"/>
      <c r="DL109" s="874"/>
      <c r="DM109" s="874"/>
      <c r="DN109" s="874"/>
      <c r="DO109" s="874"/>
      <c r="DP109" s="874"/>
      <c r="DQ109" s="874"/>
      <c r="DR109" s="874"/>
      <c r="DS109" s="874"/>
      <c r="DT109" s="874"/>
      <c r="DU109" s="874"/>
      <c r="DV109" s="874"/>
      <c r="DW109" s="874"/>
      <c r="DX109" s="874"/>
      <c r="DY109" s="874"/>
      <c r="DZ109" s="874"/>
      <c r="EA109" s="874"/>
    </row>
    <row r="110" spans="1:131" s="882" customFormat="1" ht="40.5" collapsed="1">
      <c r="A110" s="908" t="s">
        <v>713</v>
      </c>
      <c r="B110" s="888">
        <f>C110+D110</f>
        <v>18827549047</v>
      </c>
      <c r="C110" s="885">
        <f>C119+C127+C135</f>
        <v>155446187</v>
      </c>
      <c r="D110" s="885">
        <f>D119+D127+D135</f>
        <v>18672102860</v>
      </c>
      <c r="E110" s="885">
        <f>E119+E127+E135</f>
        <v>51420</v>
      </c>
      <c r="F110" s="886">
        <f t="shared" ref="F110:F116" si="194">IF(E110=0,0,ROUND(D110/E110/12,0))</f>
        <v>30261</v>
      </c>
      <c r="G110" s="888">
        <f>H110+I110</f>
        <v>19376635524</v>
      </c>
      <c r="H110" s="885">
        <f>H119+H127+H135</f>
        <v>149474869</v>
      </c>
      <c r="I110" s="885">
        <f>I119+I127+I135</f>
        <v>19227160655</v>
      </c>
      <c r="J110" s="885">
        <f>J119+J127+J135</f>
        <v>52948</v>
      </c>
      <c r="K110" s="886">
        <f t="shared" ref="K110:K116" si="195">IF(J110=0,0,ROUND(I110/J110/12,0))</f>
        <v>30261</v>
      </c>
      <c r="L110" s="888">
        <f>M110+N110</f>
        <v>19875894257</v>
      </c>
      <c r="M110" s="885">
        <f>M119+M127+M135</f>
        <v>160534439</v>
      </c>
      <c r="N110" s="885">
        <f>N119+N127+N135</f>
        <v>19715359818</v>
      </c>
      <c r="O110" s="885">
        <f>O119+O127+O135</f>
        <v>53131</v>
      </c>
      <c r="P110" s="887">
        <f t="shared" ref="P110:P116" si="196">IF(O110=0,0,ROUND(N110/O110/12,0))</f>
        <v>30923</v>
      </c>
      <c r="Q110" s="888">
        <f t="shared" ref="Q110:V116" si="197">Q119+Q127+Q135</f>
        <v>2939023.5300000003</v>
      </c>
      <c r="R110" s="885">
        <f t="shared" si="197"/>
        <v>127990013.93000001</v>
      </c>
      <c r="S110" s="889">
        <f t="shared" si="197"/>
        <v>0</v>
      </c>
      <c r="T110" s="888">
        <f t="shared" si="197"/>
        <v>0</v>
      </c>
      <c r="U110" s="885">
        <f t="shared" si="197"/>
        <v>0</v>
      </c>
      <c r="V110" s="889">
        <f t="shared" si="197"/>
        <v>0</v>
      </c>
      <c r="W110" s="888">
        <f>X110+Y110</f>
        <v>20006823294.459999</v>
      </c>
      <c r="X110" s="885">
        <f>X119+X127+X135</f>
        <v>163473462.53</v>
      </c>
      <c r="Y110" s="885">
        <f>Y119+Y127+Y135</f>
        <v>19843349831.93</v>
      </c>
      <c r="Z110" s="885">
        <f>Z119+Z127+Z135</f>
        <v>53131</v>
      </c>
      <c r="AA110" s="886">
        <f t="shared" ref="AA110:AA116" si="198">IF(Z110=0,0,ROUND(Y110/Z110/12,0))</f>
        <v>31123</v>
      </c>
      <c r="AB110" s="888">
        <f>AC110+AD110</f>
        <v>19993532864.48</v>
      </c>
      <c r="AC110" s="885">
        <f>AC119+AC127+AC135</f>
        <v>162962723</v>
      </c>
      <c r="AD110" s="885">
        <f>AD119+AD127+AD135</f>
        <v>19830570141.48</v>
      </c>
      <c r="AE110" s="885">
        <f>AE119+AE127+AE135</f>
        <v>52052</v>
      </c>
      <c r="AF110" s="886">
        <f t="shared" ref="AF110:AF116" si="199">IF(AE110=0,0,ROUND(AD110/AE110/12,0))</f>
        <v>31748</v>
      </c>
      <c r="AG110" s="888">
        <f t="shared" ref="AG110:AR116" si="200">AG119+AG127+AG135</f>
        <v>688708</v>
      </c>
      <c r="AH110" s="885">
        <f t="shared" si="200"/>
        <v>112795632.93000001</v>
      </c>
      <c r="AI110" s="889">
        <f t="shared" si="200"/>
        <v>0</v>
      </c>
      <c r="AJ110" s="888">
        <f t="shared" si="200"/>
        <v>0</v>
      </c>
      <c r="AK110" s="885">
        <f t="shared" si="200"/>
        <v>0</v>
      </c>
      <c r="AL110" s="889">
        <f t="shared" si="200"/>
        <v>0</v>
      </c>
      <c r="AM110" s="888">
        <f t="shared" si="200"/>
        <v>2168357</v>
      </c>
      <c r="AN110" s="885">
        <f t="shared" si="200"/>
        <v>15194380.100000001</v>
      </c>
      <c r="AO110" s="889">
        <f t="shared" si="200"/>
        <v>0</v>
      </c>
      <c r="AP110" s="888">
        <f t="shared" si="200"/>
        <v>0</v>
      </c>
      <c r="AQ110" s="885">
        <f t="shared" si="200"/>
        <v>0</v>
      </c>
      <c r="AR110" s="889">
        <f t="shared" si="200"/>
        <v>0</v>
      </c>
      <c r="AS110" s="890"/>
      <c r="AT110" s="874"/>
      <c r="AU110" s="888">
        <f>AV110+AW110</f>
        <v>117638607.47999951</v>
      </c>
      <c r="AV110" s="885">
        <f>AV119+AV127+AV135</f>
        <v>2428284</v>
      </c>
      <c r="AW110" s="885">
        <f>AW119+AW127+AW135</f>
        <v>115210323.47999951</v>
      </c>
      <c r="AX110" s="885">
        <f>AX119+AX127+AX135</f>
        <v>-1079</v>
      </c>
      <c r="AY110" s="893">
        <f>IF(L110=0,0,AB110/L110*100)</f>
        <v>100.59186573423517</v>
      </c>
      <c r="AZ110" s="892">
        <f>IF(M110=0,0,AC110/M110*100)</f>
        <v>101.51262496391817</v>
      </c>
      <c r="BA110" s="892">
        <f t="shared" ref="BA110:BB116" si="201">IF(N110=0,0,AD110/N110*100)</f>
        <v>100.58436835311934</v>
      </c>
      <c r="BB110" s="892">
        <f t="shared" si="201"/>
        <v>97.969170540738929</v>
      </c>
      <c r="BC110" s="888">
        <f>BD110+BE110</f>
        <v>-13208470.550000489</v>
      </c>
      <c r="BD110" s="885">
        <f>BD119+BD127+BD135</f>
        <v>-428781</v>
      </c>
      <c r="BE110" s="885">
        <f>BE119+BE127+BE135</f>
        <v>-12779689.550000489</v>
      </c>
      <c r="BF110" s="885">
        <f>BF119+BF127+BF135</f>
        <v>-1079</v>
      </c>
      <c r="BG110" s="893">
        <f t="shared" ref="BG110:BG116" si="202">IF(F110=0,0,AF110/F110*100)</f>
        <v>104.91391560093849</v>
      </c>
      <c r="BH110" s="892">
        <f t="shared" ref="BH110:BH116" si="203">IF(K110=0,0,AF110/K110*100)</f>
        <v>104.91391560093849</v>
      </c>
      <c r="BI110" s="894">
        <f t="shared" ref="BI110:BI116" si="204">IF(P110=0,0,AF110/P110*100)</f>
        <v>102.66791708437086</v>
      </c>
      <c r="BJ110" s="895"/>
      <c r="BK110" s="874"/>
      <c r="BL110" s="888">
        <f>BM110+BN110</f>
        <v>-13290429.980000168</v>
      </c>
      <c r="BM110" s="885">
        <f>BM119+BM127+BM135</f>
        <v>-510739.53000000119</v>
      </c>
      <c r="BN110" s="885">
        <f>BN119+BN127+BN135</f>
        <v>-12779690.450000167</v>
      </c>
      <c r="BO110" s="885">
        <f>BO119+BO127+BO135</f>
        <v>-1079</v>
      </c>
      <c r="BP110" s="893">
        <f>IF(W110=0,0,AB110/W110*100)</f>
        <v>99.933570513497358</v>
      </c>
      <c r="BQ110" s="892">
        <f>IF(X110=0,0,AC110/X110*100)</f>
        <v>99.687570372526807</v>
      </c>
      <c r="BR110" s="892">
        <f t="shared" ref="BR110:BS116" si="205">IF(Y110=0,0,AD110/Y110*100)</f>
        <v>99.935597111585281</v>
      </c>
      <c r="BS110" s="894">
        <f t="shared" si="205"/>
        <v>97.969170540738929</v>
      </c>
      <c r="BT110" s="874"/>
      <c r="BU110" s="888">
        <f>BV110+BW110</f>
        <v>1165983817.4799995</v>
      </c>
      <c r="BV110" s="885">
        <f>BV119+BV127+BV135</f>
        <v>7516536</v>
      </c>
      <c r="BW110" s="885">
        <f>BW119+BW127+BW135</f>
        <v>1158467281.4799995</v>
      </c>
      <c r="BX110" s="885">
        <f>BX119+BX127+BX135</f>
        <v>632</v>
      </c>
      <c r="BY110" s="893">
        <f>IF(B110=0,0,AB110/B110*100)</f>
        <v>106.19296656494855</v>
      </c>
      <c r="BZ110" s="892">
        <f>IF(C110=0,0,AC110/C110*100)</f>
        <v>104.83545858863685</v>
      </c>
      <c r="CA110" s="892">
        <f t="shared" ref="CA110:CB116" si="206">IF(D110=0,0,AD110/D110*100)</f>
        <v>106.20426788651484</v>
      </c>
      <c r="CB110" s="894">
        <f t="shared" si="206"/>
        <v>101.22909373784519</v>
      </c>
      <c r="CC110" s="874"/>
      <c r="CD110" s="874"/>
      <c r="CE110" s="874"/>
      <c r="CF110" s="874"/>
      <c r="CG110" s="874"/>
      <c r="CH110" s="874"/>
      <c r="CI110" s="874"/>
      <c r="CJ110" s="874"/>
      <c r="CK110" s="874"/>
      <c r="CL110" s="874"/>
      <c r="CM110" s="874"/>
      <c r="CN110" s="874"/>
      <c r="CO110" s="874"/>
      <c r="CP110" s="874"/>
      <c r="CQ110" s="874"/>
      <c r="CR110" s="874"/>
      <c r="CS110" s="874"/>
      <c r="CT110" s="874"/>
      <c r="CU110" s="874"/>
      <c r="CV110" s="874"/>
      <c r="CW110" s="874"/>
      <c r="CX110" s="874"/>
      <c r="CY110" s="874"/>
      <c r="CZ110" s="874"/>
      <c r="DA110" s="874"/>
      <c r="DB110" s="874"/>
      <c r="DC110" s="874"/>
      <c r="DD110" s="874"/>
      <c r="DE110" s="874"/>
      <c r="DF110" s="874"/>
      <c r="DG110" s="874"/>
      <c r="DH110" s="874"/>
      <c r="DI110" s="874"/>
      <c r="DJ110" s="874"/>
      <c r="DK110" s="874"/>
      <c r="DL110" s="874"/>
      <c r="DM110" s="874"/>
      <c r="DN110" s="874"/>
      <c r="DO110" s="874"/>
      <c r="DP110" s="874"/>
      <c r="DQ110" s="874"/>
      <c r="DR110" s="874"/>
      <c r="DS110" s="874"/>
      <c r="DT110" s="874"/>
      <c r="DU110" s="874"/>
      <c r="DV110" s="874"/>
      <c r="DW110" s="874"/>
      <c r="DX110" s="874"/>
      <c r="DY110" s="874"/>
      <c r="DZ110" s="874"/>
      <c r="EA110" s="874"/>
    </row>
    <row r="111" spans="1:131" s="922" customFormat="1" ht="20.25">
      <c r="A111" s="883" t="s">
        <v>700</v>
      </c>
      <c r="B111" s="888"/>
      <c r="C111" s="885"/>
      <c r="D111" s="885">
        <f t="shared" ref="D111:E116" si="207">D120+D128+D136</f>
        <v>1972533602</v>
      </c>
      <c r="E111" s="885">
        <f t="shared" si="207"/>
        <v>8166</v>
      </c>
      <c r="F111" s="886">
        <f t="shared" si="194"/>
        <v>20130</v>
      </c>
      <c r="G111" s="888"/>
      <c r="H111" s="885"/>
      <c r="I111" s="885">
        <f t="shared" ref="I111:J116" si="208">I120+I128+I136</f>
        <v>1891996857</v>
      </c>
      <c r="J111" s="885">
        <f t="shared" si="208"/>
        <v>8485</v>
      </c>
      <c r="K111" s="886">
        <f t="shared" si="195"/>
        <v>18582</v>
      </c>
      <c r="L111" s="888"/>
      <c r="M111" s="885"/>
      <c r="N111" s="885">
        <f t="shared" ref="N111:O116" si="209">N120+N128+N136</f>
        <v>2080171941</v>
      </c>
      <c r="O111" s="885">
        <f t="shared" si="209"/>
        <v>8488</v>
      </c>
      <c r="P111" s="887">
        <f t="shared" si="196"/>
        <v>20423</v>
      </c>
      <c r="Q111" s="888"/>
      <c r="R111" s="885">
        <f t="shared" si="197"/>
        <v>85943971.939999998</v>
      </c>
      <c r="S111" s="889">
        <f t="shared" si="197"/>
        <v>0</v>
      </c>
      <c r="T111" s="888"/>
      <c r="U111" s="885">
        <f t="shared" si="197"/>
        <v>0</v>
      </c>
      <c r="V111" s="889">
        <f t="shared" si="197"/>
        <v>0</v>
      </c>
      <c r="W111" s="888"/>
      <c r="X111" s="885"/>
      <c r="Y111" s="885">
        <f t="shared" ref="Y111:Z116" si="210">Y120+Y128+Y136</f>
        <v>2166115912.9400001</v>
      </c>
      <c r="Z111" s="885">
        <f t="shared" si="210"/>
        <v>8488</v>
      </c>
      <c r="AA111" s="886">
        <f t="shared" si="198"/>
        <v>21266</v>
      </c>
      <c r="AB111" s="888"/>
      <c r="AC111" s="885"/>
      <c r="AD111" s="885">
        <f t="shared" ref="AD111:AE116" si="211">AD120+AD128+AD136</f>
        <v>2165853993.77</v>
      </c>
      <c r="AE111" s="885">
        <f t="shared" si="211"/>
        <v>8264</v>
      </c>
      <c r="AF111" s="886">
        <f t="shared" si="199"/>
        <v>21840</v>
      </c>
      <c r="AG111" s="888"/>
      <c r="AH111" s="885">
        <f t="shared" si="200"/>
        <v>85941405.329999998</v>
      </c>
      <c r="AI111" s="889">
        <f t="shared" si="200"/>
        <v>0</v>
      </c>
      <c r="AJ111" s="888"/>
      <c r="AK111" s="885">
        <f t="shared" si="200"/>
        <v>0</v>
      </c>
      <c r="AL111" s="889">
        <f t="shared" si="200"/>
        <v>0</v>
      </c>
      <c r="AM111" s="888"/>
      <c r="AN111" s="885">
        <f t="shared" si="200"/>
        <v>2565.71</v>
      </c>
      <c r="AO111" s="889">
        <f t="shared" si="200"/>
        <v>0</v>
      </c>
      <c r="AP111" s="888"/>
      <c r="AQ111" s="885">
        <f t="shared" si="200"/>
        <v>0</v>
      </c>
      <c r="AR111" s="889">
        <f t="shared" si="200"/>
        <v>0</v>
      </c>
      <c r="AS111" s="890"/>
      <c r="AT111" s="874"/>
      <c r="AU111" s="888"/>
      <c r="AV111" s="885"/>
      <c r="AW111" s="885">
        <f t="shared" ref="AW111:AX116" si="212">AW120+AW128+AW136</f>
        <v>85682052.769999951</v>
      </c>
      <c r="AX111" s="885">
        <f t="shared" si="212"/>
        <v>-224</v>
      </c>
      <c r="AY111" s="893"/>
      <c r="AZ111" s="892"/>
      <c r="BA111" s="892">
        <f t="shared" si="201"/>
        <v>104.11898896822971</v>
      </c>
      <c r="BB111" s="892">
        <f t="shared" si="201"/>
        <v>97.36098020735156</v>
      </c>
      <c r="BC111" s="888"/>
      <c r="BD111" s="885"/>
      <c r="BE111" s="885">
        <f t="shared" ref="BE111:BF116" si="213">BE120+BE128+BE136</f>
        <v>-261918.27000004801</v>
      </c>
      <c r="BF111" s="885">
        <f t="shared" si="213"/>
        <v>-224</v>
      </c>
      <c r="BG111" s="893">
        <f t="shared" si="202"/>
        <v>108.49478390461998</v>
      </c>
      <c r="BH111" s="892">
        <f t="shared" si="203"/>
        <v>117.53309654504358</v>
      </c>
      <c r="BI111" s="894">
        <f t="shared" si="204"/>
        <v>106.93825588796943</v>
      </c>
      <c r="BJ111" s="895"/>
      <c r="BK111" s="874"/>
      <c r="BL111" s="888"/>
      <c r="BM111" s="885"/>
      <c r="BN111" s="885">
        <f t="shared" ref="BN111:BO116" si="214">BN120+BN128+BN136</f>
        <v>-261919.16999995708</v>
      </c>
      <c r="BO111" s="885">
        <f t="shared" si="214"/>
        <v>-224</v>
      </c>
      <c r="BP111" s="888"/>
      <c r="BQ111" s="885"/>
      <c r="BR111" s="892">
        <f t="shared" si="205"/>
        <v>99.987908349297683</v>
      </c>
      <c r="BS111" s="894">
        <f t="shared" si="205"/>
        <v>97.36098020735156</v>
      </c>
      <c r="BT111" s="874"/>
      <c r="BU111" s="888"/>
      <c r="BV111" s="885"/>
      <c r="BW111" s="885">
        <f t="shared" ref="BW111:BX116" si="215">BW120+BW128+BW136</f>
        <v>193320391.76999995</v>
      </c>
      <c r="BX111" s="885">
        <f t="shared" si="215"/>
        <v>98</v>
      </c>
      <c r="BY111" s="893"/>
      <c r="BZ111" s="892"/>
      <c r="CA111" s="892">
        <f t="shared" si="206"/>
        <v>109.8006133621241</v>
      </c>
      <c r="CB111" s="894">
        <f t="shared" si="206"/>
        <v>101.20009796718099</v>
      </c>
      <c r="CC111" s="874"/>
      <c r="CD111" s="874"/>
      <c r="CE111" s="874"/>
      <c r="CF111" s="874"/>
      <c r="CG111" s="874"/>
      <c r="CH111" s="874"/>
      <c r="CI111" s="874"/>
      <c r="CJ111" s="874"/>
      <c r="CK111" s="874"/>
      <c r="CL111" s="874"/>
      <c r="CM111" s="874"/>
      <c r="CN111" s="874"/>
      <c r="CO111" s="874"/>
      <c r="CP111" s="874"/>
      <c r="CQ111" s="874"/>
      <c r="CR111" s="874"/>
      <c r="CS111" s="874"/>
      <c r="CT111" s="874"/>
      <c r="CU111" s="874"/>
      <c r="CV111" s="874"/>
      <c r="CW111" s="874"/>
      <c r="CX111" s="874"/>
      <c r="CY111" s="874"/>
      <c r="CZ111" s="874"/>
      <c r="DA111" s="874"/>
      <c r="DB111" s="874"/>
      <c r="DC111" s="874"/>
      <c r="DD111" s="874"/>
      <c r="DE111" s="874"/>
      <c r="DF111" s="874"/>
      <c r="DG111" s="874"/>
      <c r="DH111" s="874"/>
      <c r="DI111" s="874"/>
      <c r="DJ111" s="874"/>
      <c r="DK111" s="874"/>
      <c r="DL111" s="874"/>
      <c r="DM111" s="874"/>
      <c r="DN111" s="874"/>
      <c r="DO111" s="874"/>
      <c r="DP111" s="874"/>
      <c r="DQ111" s="874"/>
      <c r="DR111" s="874"/>
      <c r="DS111" s="874"/>
      <c r="DT111" s="874"/>
      <c r="DU111" s="874"/>
      <c r="DV111" s="874"/>
      <c r="DW111" s="874"/>
      <c r="DX111" s="874"/>
      <c r="DY111" s="874"/>
      <c r="DZ111" s="874"/>
      <c r="EA111" s="874"/>
    </row>
    <row r="112" spans="1:131" ht="20.25">
      <c r="A112" s="896" t="s">
        <v>701</v>
      </c>
      <c r="B112" s="884"/>
      <c r="C112" s="885"/>
      <c r="D112" s="885">
        <f>D113+D114</f>
        <v>16699569258</v>
      </c>
      <c r="E112" s="885">
        <f>E113+E114</f>
        <v>43254</v>
      </c>
      <c r="F112" s="886">
        <f t="shared" si="194"/>
        <v>32173</v>
      </c>
      <c r="G112" s="884"/>
      <c r="H112" s="885"/>
      <c r="I112" s="885">
        <f>I113+I114</f>
        <v>17335163798</v>
      </c>
      <c r="J112" s="885">
        <f>J113+J114</f>
        <v>44463</v>
      </c>
      <c r="K112" s="886">
        <f t="shared" si="195"/>
        <v>32490</v>
      </c>
      <c r="L112" s="884"/>
      <c r="M112" s="885"/>
      <c r="N112" s="885">
        <f>N113+N114</f>
        <v>17635187877</v>
      </c>
      <c r="O112" s="885">
        <f>O113+O114</f>
        <v>44643</v>
      </c>
      <c r="P112" s="887">
        <f t="shared" si="196"/>
        <v>32919</v>
      </c>
      <c r="Q112" s="888"/>
      <c r="R112" s="885">
        <f>R113+R114</f>
        <v>42046041.990000002</v>
      </c>
      <c r="S112" s="889">
        <f>S113+S114</f>
        <v>0</v>
      </c>
      <c r="T112" s="888"/>
      <c r="U112" s="885">
        <f>U113+U114</f>
        <v>0</v>
      </c>
      <c r="V112" s="889">
        <f>V113+V114</f>
        <v>0</v>
      </c>
      <c r="W112" s="884"/>
      <c r="X112" s="885"/>
      <c r="Y112" s="885">
        <f>Y113+Y114</f>
        <v>17677233918.989998</v>
      </c>
      <c r="Z112" s="885">
        <f>Z113+Z114</f>
        <v>44643</v>
      </c>
      <c r="AA112" s="886">
        <f t="shared" si="198"/>
        <v>32997</v>
      </c>
      <c r="AB112" s="884"/>
      <c r="AC112" s="885"/>
      <c r="AD112" s="885">
        <f>AD113+AD114</f>
        <v>17664716147.709999</v>
      </c>
      <c r="AE112" s="885">
        <f>AE113+AE114</f>
        <v>43788</v>
      </c>
      <c r="AF112" s="886">
        <f t="shared" si="199"/>
        <v>33618</v>
      </c>
      <c r="AG112" s="888"/>
      <c r="AH112" s="898">
        <f>AH113+AH114</f>
        <v>26854227.600000001</v>
      </c>
      <c r="AI112" s="889">
        <f>AI113+AI114</f>
        <v>0</v>
      </c>
      <c r="AJ112" s="888"/>
      <c r="AK112" s="885">
        <f>AK113+AK114</f>
        <v>0</v>
      </c>
      <c r="AL112" s="889">
        <f>AL113+AL114</f>
        <v>0</v>
      </c>
      <c r="AM112" s="888"/>
      <c r="AN112" s="885">
        <f>AN113+AN114</f>
        <v>15191814.390000001</v>
      </c>
      <c r="AO112" s="889">
        <f>AO113+AO114</f>
        <v>0</v>
      </c>
      <c r="AP112" s="888"/>
      <c r="AQ112" s="885">
        <f>AQ113+AQ114</f>
        <v>0</v>
      </c>
      <c r="AR112" s="889">
        <f>AR113+AR114</f>
        <v>0</v>
      </c>
      <c r="AS112" s="890"/>
      <c r="AT112" s="874"/>
      <c r="AU112" s="884"/>
      <c r="AV112" s="885"/>
      <c r="AW112" s="885">
        <f t="shared" si="212"/>
        <v>29528270.709999561</v>
      </c>
      <c r="AX112" s="885">
        <f t="shared" si="212"/>
        <v>-855</v>
      </c>
      <c r="AY112" s="891"/>
      <c r="AZ112" s="892"/>
      <c r="BA112" s="892">
        <f t="shared" si="201"/>
        <v>100.16743950172773</v>
      </c>
      <c r="BB112" s="892">
        <f t="shared" si="201"/>
        <v>98.084806128620386</v>
      </c>
      <c r="BC112" s="884"/>
      <c r="BD112" s="885"/>
      <c r="BE112" s="885">
        <f t="shared" si="213"/>
        <v>-12517771.280000441</v>
      </c>
      <c r="BF112" s="885">
        <f t="shared" si="213"/>
        <v>-855</v>
      </c>
      <c r="BG112" s="893">
        <f t="shared" si="202"/>
        <v>104.4913436732664</v>
      </c>
      <c r="BH112" s="892">
        <f t="shared" si="203"/>
        <v>103.47183748845798</v>
      </c>
      <c r="BI112" s="894">
        <f t="shared" si="204"/>
        <v>102.12339378474438</v>
      </c>
      <c r="BJ112" s="895"/>
      <c r="BK112" s="874"/>
      <c r="BL112" s="884"/>
      <c r="BM112" s="885"/>
      <c r="BN112" s="885">
        <f t="shared" si="214"/>
        <v>-12517771.28000021</v>
      </c>
      <c r="BO112" s="885">
        <f t="shared" si="214"/>
        <v>-855</v>
      </c>
      <c r="BP112" s="884"/>
      <c r="BQ112" s="885"/>
      <c r="BR112" s="892">
        <f t="shared" si="205"/>
        <v>99.929187047377638</v>
      </c>
      <c r="BS112" s="894">
        <f t="shared" si="205"/>
        <v>98.084806128620386</v>
      </c>
      <c r="BT112" s="874"/>
      <c r="BU112" s="884"/>
      <c r="BV112" s="885"/>
      <c r="BW112" s="885">
        <f t="shared" si="215"/>
        <v>965146889.70999956</v>
      </c>
      <c r="BX112" s="885">
        <f t="shared" si="215"/>
        <v>534</v>
      </c>
      <c r="BY112" s="891"/>
      <c r="BZ112" s="892"/>
      <c r="CA112" s="892">
        <f t="shared" si="206"/>
        <v>105.77947176240873</v>
      </c>
      <c r="CB112" s="894">
        <f t="shared" si="206"/>
        <v>101.23456790123457</v>
      </c>
      <c r="CC112" s="874"/>
      <c r="CD112" s="874"/>
      <c r="CE112" s="874"/>
      <c r="CF112" s="874"/>
      <c r="CG112" s="874"/>
      <c r="CH112" s="874"/>
      <c r="CI112" s="874"/>
      <c r="CJ112" s="874"/>
      <c r="CK112" s="874"/>
      <c r="CL112" s="874"/>
      <c r="CM112" s="874"/>
      <c r="CN112" s="874"/>
      <c r="CO112" s="874"/>
      <c r="CP112" s="874"/>
      <c r="CQ112" s="874"/>
      <c r="CR112" s="874"/>
      <c r="CS112" s="874"/>
      <c r="CT112" s="874"/>
      <c r="CU112" s="874"/>
      <c r="CV112" s="874"/>
      <c r="CW112" s="874"/>
      <c r="CX112" s="874"/>
      <c r="CY112" s="874"/>
      <c r="CZ112" s="874"/>
      <c r="DA112" s="874"/>
      <c r="DB112" s="874"/>
      <c r="DC112" s="874"/>
      <c r="DD112" s="874"/>
      <c r="DE112" s="874"/>
      <c r="DF112" s="874"/>
      <c r="DG112" s="874"/>
      <c r="DH112" s="874"/>
      <c r="DI112" s="874"/>
      <c r="DJ112" s="874"/>
      <c r="DK112" s="874"/>
      <c r="DL112" s="874"/>
      <c r="DM112" s="874"/>
      <c r="DN112" s="874"/>
      <c r="DO112" s="874"/>
      <c r="DP112" s="874"/>
      <c r="DQ112" s="874"/>
      <c r="DR112" s="874"/>
      <c r="DS112" s="874"/>
      <c r="DT112" s="874"/>
      <c r="DU112" s="874"/>
      <c r="DV112" s="874"/>
      <c r="DW112" s="874"/>
      <c r="DX112" s="874"/>
      <c r="DY112" s="874"/>
      <c r="DZ112" s="874"/>
      <c r="EA112" s="874"/>
    </row>
    <row r="113" spans="1:131" ht="20.25">
      <c r="A113" s="896" t="s">
        <v>702</v>
      </c>
      <c r="B113" s="884"/>
      <c r="C113" s="885"/>
      <c r="D113" s="885">
        <f t="shared" si="207"/>
        <v>13064882059</v>
      </c>
      <c r="E113" s="885">
        <f t="shared" si="207"/>
        <v>34276</v>
      </c>
      <c r="F113" s="886">
        <f t="shared" si="194"/>
        <v>31764</v>
      </c>
      <c r="G113" s="884"/>
      <c r="H113" s="885"/>
      <c r="I113" s="885">
        <f t="shared" si="208"/>
        <v>13543082686</v>
      </c>
      <c r="J113" s="885">
        <f t="shared" si="208"/>
        <v>35222</v>
      </c>
      <c r="K113" s="886">
        <f t="shared" si="195"/>
        <v>32042</v>
      </c>
      <c r="L113" s="884"/>
      <c r="M113" s="885"/>
      <c r="N113" s="885">
        <f t="shared" si="209"/>
        <v>13789913420</v>
      </c>
      <c r="O113" s="885">
        <f t="shared" si="209"/>
        <v>35347</v>
      </c>
      <c r="P113" s="887">
        <f t="shared" si="196"/>
        <v>32511</v>
      </c>
      <c r="Q113" s="888"/>
      <c r="R113" s="885">
        <f t="shared" si="197"/>
        <v>1813398</v>
      </c>
      <c r="S113" s="889">
        <f t="shared" si="197"/>
        <v>0</v>
      </c>
      <c r="T113" s="888"/>
      <c r="U113" s="885">
        <f t="shared" si="197"/>
        <v>0</v>
      </c>
      <c r="V113" s="889">
        <f t="shared" si="197"/>
        <v>0</v>
      </c>
      <c r="W113" s="884"/>
      <c r="X113" s="885"/>
      <c r="Y113" s="885">
        <f t="shared" si="210"/>
        <v>13791726818</v>
      </c>
      <c r="Z113" s="885">
        <f t="shared" si="210"/>
        <v>35347</v>
      </c>
      <c r="AA113" s="886">
        <f t="shared" si="198"/>
        <v>32515</v>
      </c>
      <c r="AB113" s="884"/>
      <c r="AC113" s="885"/>
      <c r="AD113" s="885">
        <f t="shared" si="211"/>
        <v>13791316902.309999</v>
      </c>
      <c r="AE113" s="885">
        <f t="shared" si="211"/>
        <v>34715</v>
      </c>
      <c r="AF113" s="886">
        <f t="shared" si="199"/>
        <v>33106</v>
      </c>
      <c r="AG113" s="888"/>
      <c r="AH113" s="885">
        <f t="shared" si="200"/>
        <v>1813398</v>
      </c>
      <c r="AI113" s="889">
        <f t="shared" si="200"/>
        <v>0</v>
      </c>
      <c r="AJ113" s="888"/>
      <c r="AK113" s="885">
        <f t="shared" si="200"/>
        <v>0</v>
      </c>
      <c r="AL113" s="889">
        <f t="shared" si="200"/>
        <v>0</v>
      </c>
      <c r="AM113" s="888"/>
      <c r="AN113" s="885">
        <f t="shared" si="200"/>
        <v>0</v>
      </c>
      <c r="AO113" s="889">
        <f t="shared" si="200"/>
        <v>0</v>
      </c>
      <c r="AP113" s="888"/>
      <c r="AQ113" s="885">
        <f t="shared" si="200"/>
        <v>0</v>
      </c>
      <c r="AR113" s="889">
        <f t="shared" si="200"/>
        <v>0</v>
      </c>
      <c r="AS113" s="890"/>
      <c r="AT113" s="874"/>
      <c r="AU113" s="884"/>
      <c r="AV113" s="885"/>
      <c r="AW113" s="885">
        <f t="shared" si="212"/>
        <v>1403482.3099994659</v>
      </c>
      <c r="AX113" s="885">
        <f t="shared" si="212"/>
        <v>-632</v>
      </c>
      <c r="AY113" s="891"/>
      <c r="AZ113" s="892"/>
      <c r="BA113" s="892">
        <f t="shared" si="201"/>
        <v>100.01017760059294</v>
      </c>
      <c r="BB113" s="892">
        <f t="shared" si="201"/>
        <v>98.212012334851622</v>
      </c>
      <c r="BC113" s="884"/>
      <c r="BD113" s="885"/>
      <c r="BE113" s="885">
        <f t="shared" si="213"/>
        <v>-409915.69000053406</v>
      </c>
      <c r="BF113" s="885">
        <f t="shared" si="213"/>
        <v>-632</v>
      </c>
      <c r="BG113" s="893">
        <f t="shared" si="202"/>
        <v>104.22490870167485</v>
      </c>
      <c r="BH113" s="892">
        <f t="shared" si="203"/>
        <v>103.32064165782411</v>
      </c>
      <c r="BI113" s="894">
        <f t="shared" si="204"/>
        <v>101.83014979545383</v>
      </c>
      <c r="BJ113" s="895"/>
      <c r="BK113" s="874"/>
      <c r="BL113" s="884"/>
      <c r="BM113" s="885"/>
      <c r="BN113" s="885">
        <f t="shared" si="214"/>
        <v>-409915.69000053406</v>
      </c>
      <c r="BO113" s="885">
        <f t="shared" si="214"/>
        <v>-632</v>
      </c>
      <c r="BP113" s="884"/>
      <c r="BQ113" s="885"/>
      <c r="BR113" s="892">
        <f t="shared" si="205"/>
        <v>99.997027814606469</v>
      </c>
      <c r="BS113" s="894">
        <f t="shared" si="205"/>
        <v>98.212012334851622</v>
      </c>
      <c r="BT113" s="874"/>
      <c r="BU113" s="884"/>
      <c r="BV113" s="885"/>
      <c r="BW113" s="885">
        <f t="shared" si="215"/>
        <v>726434843.30999947</v>
      </c>
      <c r="BX113" s="885">
        <f t="shared" si="215"/>
        <v>439</v>
      </c>
      <c r="BY113" s="891"/>
      <c r="BZ113" s="892"/>
      <c r="CA113" s="892">
        <f t="shared" si="206"/>
        <v>105.5602097288707</v>
      </c>
      <c r="CB113" s="894">
        <f t="shared" si="206"/>
        <v>101.28077955420703</v>
      </c>
      <c r="CC113" s="874"/>
      <c r="CD113" s="874"/>
      <c r="CE113" s="874"/>
      <c r="CF113" s="874"/>
      <c r="CG113" s="874"/>
      <c r="CH113" s="874"/>
      <c r="CI113" s="874"/>
      <c r="CJ113" s="874"/>
      <c r="CK113" s="874"/>
      <c r="CL113" s="874"/>
      <c r="CM113" s="874"/>
      <c r="CN113" s="874"/>
      <c r="CO113" s="874"/>
      <c r="CP113" s="874"/>
      <c r="CQ113" s="874"/>
      <c r="CR113" s="874"/>
      <c r="CS113" s="874"/>
      <c r="CT113" s="874"/>
      <c r="CU113" s="874"/>
      <c r="CV113" s="874"/>
      <c r="CW113" s="874"/>
      <c r="CX113" s="874"/>
      <c r="CY113" s="874"/>
      <c r="CZ113" s="874"/>
      <c r="DA113" s="874"/>
      <c r="DB113" s="874"/>
      <c r="DC113" s="874"/>
      <c r="DD113" s="874"/>
      <c r="DE113" s="874"/>
      <c r="DF113" s="874"/>
      <c r="DG113" s="874"/>
      <c r="DH113" s="874"/>
      <c r="DI113" s="874"/>
      <c r="DJ113" s="874"/>
      <c r="DK113" s="874"/>
      <c r="DL113" s="874"/>
      <c r="DM113" s="874"/>
      <c r="DN113" s="874"/>
      <c r="DO113" s="874"/>
      <c r="DP113" s="874"/>
      <c r="DQ113" s="874"/>
      <c r="DR113" s="874"/>
      <c r="DS113" s="874"/>
      <c r="DT113" s="874"/>
      <c r="DU113" s="874"/>
      <c r="DV113" s="874"/>
      <c r="DW113" s="874"/>
      <c r="DX113" s="874"/>
      <c r="DY113" s="874"/>
      <c r="DZ113" s="874"/>
      <c r="EA113" s="874"/>
    </row>
    <row r="114" spans="1:131" ht="20.25">
      <c r="A114" s="896" t="s">
        <v>703</v>
      </c>
      <c r="B114" s="884"/>
      <c r="C114" s="885"/>
      <c r="D114" s="885">
        <f t="shared" si="207"/>
        <v>3634687199</v>
      </c>
      <c r="E114" s="885">
        <f t="shared" si="207"/>
        <v>8978</v>
      </c>
      <c r="F114" s="886">
        <f t="shared" si="194"/>
        <v>33737</v>
      </c>
      <c r="G114" s="884"/>
      <c r="H114" s="885"/>
      <c r="I114" s="885">
        <f t="shared" si="208"/>
        <v>3792081112</v>
      </c>
      <c r="J114" s="885">
        <f t="shared" si="208"/>
        <v>9241</v>
      </c>
      <c r="K114" s="886">
        <f t="shared" si="195"/>
        <v>34196</v>
      </c>
      <c r="L114" s="884"/>
      <c r="M114" s="885"/>
      <c r="N114" s="885">
        <f t="shared" si="209"/>
        <v>3845274457</v>
      </c>
      <c r="O114" s="885">
        <f t="shared" si="209"/>
        <v>9296</v>
      </c>
      <c r="P114" s="887">
        <f t="shared" si="196"/>
        <v>34471</v>
      </c>
      <c r="Q114" s="888"/>
      <c r="R114" s="885">
        <f t="shared" si="197"/>
        <v>40232643.990000002</v>
      </c>
      <c r="S114" s="889">
        <f t="shared" si="197"/>
        <v>0</v>
      </c>
      <c r="T114" s="888"/>
      <c r="U114" s="885">
        <f t="shared" si="197"/>
        <v>0</v>
      </c>
      <c r="V114" s="889">
        <f t="shared" si="197"/>
        <v>0</v>
      </c>
      <c r="W114" s="884"/>
      <c r="X114" s="885"/>
      <c r="Y114" s="885">
        <f t="shared" si="210"/>
        <v>3885507100.9899998</v>
      </c>
      <c r="Z114" s="885">
        <f t="shared" si="210"/>
        <v>9296</v>
      </c>
      <c r="AA114" s="886">
        <f t="shared" si="198"/>
        <v>34831</v>
      </c>
      <c r="AB114" s="884"/>
      <c r="AC114" s="885"/>
      <c r="AD114" s="885">
        <f t="shared" si="211"/>
        <v>3873399245.4000001</v>
      </c>
      <c r="AE114" s="885">
        <f t="shared" si="211"/>
        <v>9073</v>
      </c>
      <c r="AF114" s="886">
        <f t="shared" si="199"/>
        <v>35576</v>
      </c>
      <c r="AG114" s="888"/>
      <c r="AH114" s="885">
        <f t="shared" si="200"/>
        <v>25040829.600000001</v>
      </c>
      <c r="AI114" s="889">
        <f t="shared" si="200"/>
        <v>0</v>
      </c>
      <c r="AJ114" s="888"/>
      <c r="AK114" s="885">
        <f t="shared" si="200"/>
        <v>0</v>
      </c>
      <c r="AL114" s="889">
        <f t="shared" si="200"/>
        <v>0</v>
      </c>
      <c r="AM114" s="888"/>
      <c r="AN114" s="885">
        <f t="shared" si="200"/>
        <v>15191814.390000001</v>
      </c>
      <c r="AO114" s="889">
        <f t="shared" si="200"/>
        <v>0</v>
      </c>
      <c r="AP114" s="888"/>
      <c r="AQ114" s="885">
        <f t="shared" si="200"/>
        <v>0</v>
      </c>
      <c r="AR114" s="889">
        <f t="shared" si="200"/>
        <v>0</v>
      </c>
      <c r="AS114" s="890"/>
      <c r="AT114" s="874"/>
      <c r="AU114" s="884"/>
      <c r="AV114" s="885"/>
      <c r="AW114" s="885">
        <f t="shared" si="212"/>
        <v>28124788.400000095</v>
      </c>
      <c r="AX114" s="885">
        <f t="shared" si="212"/>
        <v>-223</v>
      </c>
      <c r="AY114" s="891"/>
      <c r="AZ114" s="892"/>
      <c r="BA114" s="892">
        <f t="shared" si="201"/>
        <v>100.73141172924085</v>
      </c>
      <c r="BB114" s="892">
        <f t="shared" si="201"/>
        <v>97.601118760757316</v>
      </c>
      <c r="BC114" s="884"/>
      <c r="BD114" s="885"/>
      <c r="BE114" s="885">
        <f t="shared" si="213"/>
        <v>-12107855.589999907</v>
      </c>
      <c r="BF114" s="885">
        <f t="shared" si="213"/>
        <v>-223</v>
      </c>
      <c r="BG114" s="893">
        <f t="shared" si="202"/>
        <v>105.45098852891483</v>
      </c>
      <c r="BH114" s="892">
        <f t="shared" si="203"/>
        <v>104.03555971458651</v>
      </c>
      <c r="BI114" s="894">
        <f t="shared" si="204"/>
        <v>103.20559310724957</v>
      </c>
      <c r="BJ114" s="895"/>
      <c r="BK114" s="874"/>
      <c r="BL114" s="884"/>
      <c r="BM114" s="885"/>
      <c r="BN114" s="885">
        <f t="shared" si="214"/>
        <v>-12107855.589999676</v>
      </c>
      <c r="BO114" s="885">
        <f t="shared" si="214"/>
        <v>-223</v>
      </c>
      <c r="BP114" s="884"/>
      <c r="BQ114" s="885"/>
      <c r="BR114" s="892">
        <f t="shared" si="205"/>
        <v>99.68838416002599</v>
      </c>
      <c r="BS114" s="894">
        <f t="shared" si="205"/>
        <v>97.601118760757316</v>
      </c>
      <c r="BT114" s="874"/>
      <c r="BU114" s="884"/>
      <c r="BV114" s="885"/>
      <c r="BW114" s="885">
        <f t="shared" si="215"/>
        <v>238712046.4000001</v>
      </c>
      <c r="BX114" s="885">
        <f t="shared" si="215"/>
        <v>95</v>
      </c>
      <c r="BY114" s="891"/>
      <c r="BZ114" s="892"/>
      <c r="CA114" s="892">
        <f t="shared" si="206"/>
        <v>106.56760907694274</v>
      </c>
      <c r="CB114" s="894">
        <f t="shared" si="206"/>
        <v>101.05814212519493</v>
      </c>
      <c r="CC114" s="874"/>
      <c r="CD114" s="874"/>
      <c r="CE114" s="874"/>
      <c r="CF114" s="874"/>
      <c r="CG114" s="874"/>
      <c r="CH114" s="874"/>
      <c r="CI114" s="874"/>
      <c r="CJ114" s="874"/>
      <c r="CK114" s="874"/>
      <c r="CL114" s="874"/>
      <c r="CM114" s="874"/>
      <c r="CN114" s="874"/>
      <c r="CO114" s="874"/>
      <c r="CP114" s="874"/>
      <c r="CQ114" s="874"/>
      <c r="CR114" s="874"/>
      <c r="CS114" s="874"/>
      <c r="CT114" s="874"/>
      <c r="CU114" s="874"/>
      <c r="CV114" s="874"/>
      <c r="CW114" s="874"/>
      <c r="CX114" s="874"/>
      <c r="CY114" s="874"/>
      <c r="CZ114" s="874"/>
      <c r="DA114" s="874"/>
      <c r="DB114" s="874"/>
      <c r="DC114" s="874"/>
      <c r="DD114" s="874"/>
      <c r="DE114" s="874"/>
      <c r="DF114" s="874"/>
      <c r="DG114" s="874"/>
      <c r="DH114" s="874"/>
      <c r="DI114" s="874"/>
      <c r="DJ114" s="874"/>
      <c r="DK114" s="874"/>
      <c r="DL114" s="874"/>
      <c r="DM114" s="874"/>
      <c r="DN114" s="874"/>
      <c r="DO114" s="874"/>
      <c r="DP114" s="874"/>
      <c r="DQ114" s="874"/>
      <c r="DR114" s="874"/>
      <c r="DS114" s="874"/>
      <c r="DT114" s="874"/>
      <c r="DU114" s="874"/>
      <c r="DV114" s="874"/>
      <c r="DW114" s="874"/>
      <c r="DX114" s="874"/>
      <c r="DY114" s="874"/>
      <c r="DZ114" s="874"/>
      <c r="EA114" s="874"/>
    </row>
    <row r="115" spans="1:131" ht="20.25">
      <c r="A115" s="896" t="s">
        <v>704</v>
      </c>
      <c r="B115" s="884"/>
      <c r="C115" s="885"/>
      <c r="D115" s="885">
        <f t="shared" si="207"/>
        <v>0</v>
      </c>
      <c r="E115" s="885">
        <f t="shared" si="207"/>
        <v>0</v>
      </c>
      <c r="F115" s="886">
        <f t="shared" si="194"/>
        <v>0</v>
      </c>
      <c r="G115" s="884"/>
      <c r="H115" s="885"/>
      <c r="I115" s="885">
        <f t="shared" si="208"/>
        <v>0</v>
      </c>
      <c r="J115" s="885">
        <f t="shared" si="208"/>
        <v>0</v>
      </c>
      <c r="K115" s="886">
        <f t="shared" si="195"/>
        <v>0</v>
      </c>
      <c r="L115" s="884"/>
      <c r="M115" s="885"/>
      <c r="N115" s="885">
        <f t="shared" si="209"/>
        <v>0</v>
      </c>
      <c r="O115" s="885">
        <f t="shared" si="209"/>
        <v>0</v>
      </c>
      <c r="P115" s="887">
        <f t="shared" si="196"/>
        <v>0</v>
      </c>
      <c r="Q115" s="888"/>
      <c r="R115" s="885">
        <f t="shared" si="197"/>
        <v>0</v>
      </c>
      <c r="S115" s="889">
        <f t="shared" si="197"/>
        <v>0</v>
      </c>
      <c r="T115" s="888"/>
      <c r="U115" s="885">
        <f t="shared" si="197"/>
        <v>0</v>
      </c>
      <c r="V115" s="889">
        <f t="shared" si="197"/>
        <v>0</v>
      </c>
      <c r="W115" s="884"/>
      <c r="X115" s="885"/>
      <c r="Y115" s="885">
        <f t="shared" si="210"/>
        <v>0</v>
      </c>
      <c r="Z115" s="885">
        <f t="shared" si="210"/>
        <v>0</v>
      </c>
      <c r="AA115" s="886">
        <f t="shared" si="198"/>
        <v>0</v>
      </c>
      <c r="AB115" s="884"/>
      <c r="AC115" s="885"/>
      <c r="AD115" s="885">
        <f t="shared" si="211"/>
        <v>0</v>
      </c>
      <c r="AE115" s="885">
        <f t="shared" si="211"/>
        <v>0</v>
      </c>
      <c r="AF115" s="886">
        <f t="shared" si="199"/>
        <v>0</v>
      </c>
      <c r="AG115" s="888"/>
      <c r="AH115" s="885">
        <f t="shared" si="200"/>
        <v>0</v>
      </c>
      <c r="AI115" s="889">
        <f t="shared" si="200"/>
        <v>0</v>
      </c>
      <c r="AJ115" s="888"/>
      <c r="AK115" s="885">
        <f t="shared" si="200"/>
        <v>0</v>
      </c>
      <c r="AL115" s="889">
        <f t="shared" si="200"/>
        <v>0</v>
      </c>
      <c r="AM115" s="888"/>
      <c r="AN115" s="885">
        <f t="shared" si="200"/>
        <v>0</v>
      </c>
      <c r="AO115" s="889">
        <f t="shared" si="200"/>
        <v>0</v>
      </c>
      <c r="AP115" s="888"/>
      <c r="AQ115" s="885">
        <f t="shared" si="200"/>
        <v>0</v>
      </c>
      <c r="AR115" s="889">
        <f t="shared" si="200"/>
        <v>0</v>
      </c>
      <c r="AS115" s="890"/>
      <c r="AT115" s="874"/>
      <c r="AU115" s="884"/>
      <c r="AV115" s="885"/>
      <c r="AW115" s="885">
        <f t="shared" si="212"/>
        <v>0</v>
      </c>
      <c r="AX115" s="885">
        <f t="shared" si="212"/>
        <v>0</v>
      </c>
      <c r="AY115" s="891"/>
      <c r="AZ115" s="892"/>
      <c r="BA115" s="892">
        <f t="shared" si="201"/>
        <v>0</v>
      </c>
      <c r="BB115" s="892">
        <f t="shared" si="201"/>
        <v>0</v>
      </c>
      <c r="BC115" s="884"/>
      <c r="BD115" s="885"/>
      <c r="BE115" s="885">
        <f t="shared" si="213"/>
        <v>0</v>
      </c>
      <c r="BF115" s="885">
        <f t="shared" si="213"/>
        <v>0</v>
      </c>
      <c r="BG115" s="893">
        <f t="shared" si="202"/>
        <v>0</v>
      </c>
      <c r="BH115" s="892">
        <f t="shared" si="203"/>
        <v>0</v>
      </c>
      <c r="BI115" s="894">
        <f t="shared" si="204"/>
        <v>0</v>
      </c>
      <c r="BJ115" s="895"/>
      <c r="BK115" s="874"/>
      <c r="BL115" s="884"/>
      <c r="BM115" s="885"/>
      <c r="BN115" s="885">
        <f t="shared" si="214"/>
        <v>0</v>
      </c>
      <c r="BO115" s="885">
        <f t="shared" si="214"/>
        <v>0</v>
      </c>
      <c r="BP115" s="884"/>
      <c r="BQ115" s="885"/>
      <c r="BR115" s="892">
        <f t="shared" si="205"/>
        <v>0</v>
      </c>
      <c r="BS115" s="894">
        <f t="shared" si="205"/>
        <v>0</v>
      </c>
      <c r="BT115" s="874"/>
      <c r="BU115" s="884"/>
      <c r="BV115" s="885"/>
      <c r="BW115" s="885">
        <f t="shared" si="215"/>
        <v>0</v>
      </c>
      <c r="BX115" s="885">
        <f t="shared" si="215"/>
        <v>0</v>
      </c>
      <c r="BY115" s="891"/>
      <c r="BZ115" s="892"/>
      <c r="CA115" s="892">
        <f t="shared" si="206"/>
        <v>0</v>
      </c>
      <c r="CB115" s="894">
        <f t="shared" si="206"/>
        <v>0</v>
      </c>
      <c r="CC115" s="874"/>
      <c r="CD115" s="874"/>
      <c r="CE115" s="874"/>
      <c r="CF115" s="874"/>
      <c r="CG115" s="874"/>
      <c r="CH115" s="874"/>
      <c r="CI115" s="874"/>
      <c r="CJ115" s="874"/>
      <c r="CK115" s="874"/>
      <c r="CL115" s="874"/>
      <c r="CM115" s="874"/>
      <c r="CN115" s="874"/>
      <c r="CO115" s="874"/>
      <c r="CP115" s="874"/>
      <c r="CQ115" s="874"/>
      <c r="CR115" s="874"/>
      <c r="CS115" s="874"/>
      <c r="CT115" s="874"/>
      <c r="CU115" s="874"/>
      <c r="CV115" s="874"/>
      <c r="CW115" s="874"/>
      <c r="CX115" s="874"/>
      <c r="CY115" s="874"/>
      <c r="CZ115" s="874"/>
      <c r="DA115" s="874"/>
      <c r="DB115" s="874"/>
      <c r="DC115" s="874"/>
      <c r="DD115" s="874"/>
      <c r="DE115" s="874"/>
      <c r="DF115" s="874"/>
      <c r="DG115" s="874"/>
      <c r="DH115" s="874"/>
      <c r="DI115" s="874"/>
      <c r="DJ115" s="874"/>
      <c r="DK115" s="874"/>
      <c r="DL115" s="874"/>
      <c r="DM115" s="874"/>
      <c r="DN115" s="874"/>
      <c r="DO115" s="874"/>
      <c r="DP115" s="874"/>
      <c r="DQ115" s="874"/>
      <c r="DR115" s="874"/>
      <c r="DS115" s="874"/>
      <c r="DT115" s="874"/>
      <c r="DU115" s="874"/>
      <c r="DV115" s="874"/>
      <c r="DW115" s="874"/>
      <c r="DX115" s="874"/>
      <c r="DY115" s="874"/>
      <c r="DZ115" s="874"/>
      <c r="EA115" s="874"/>
    </row>
    <row r="116" spans="1:131" ht="20.25">
      <c r="A116" s="897" t="s">
        <v>705</v>
      </c>
      <c r="B116" s="884"/>
      <c r="C116" s="885"/>
      <c r="D116" s="885">
        <f t="shared" si="207"/>
        <v>0</v>
      </c>
      <c r="E116" s="885">
        <f t="shared" si="207"/>
        <v>0</v>
      </c>
      <c r="F116" s="886">
        <f t="shared" si="194"/>
        <v>0</v>
      </c>
      <c r="G116" s="884"/>
      <c r="H116" s="885"/>
      <c r="I116" s="885">
        <f t="shared" si="208"/>
        <v>0</v>
      </c>
      <c r="J116" s="885">
        <f t="shared" si="208"/>
        <v>0</v>
      </c>
      <c r="K116" s="886">
        <f t="shared" si="195"/>
        <v>0</v>
      </c>
      <c r="L116" s="884"/>
      <c r="M116" s="885"/>
      <c r="N116" s="885">
        <f t="shared" si="209"/>
        <v>0</v>
      </c>
      <c r="O116" s="885">
        <f t="shared" si="209"/>
        <v>0</v>
      </c>
      <c r="P116" s="887">
        <f t="shared" si="196"/>
        <v>0</v>
      </c>
      <c r="Q116" s="888"/>
      <c r="R116" s="885">
        <f t="shared" si="197"/>
        <v>0</v>
      </c>
      <c r="S116" s="889">
        <f t="shared" si="197"/>
        <v>0</v>
      </c>
      <c r="T116" s="888"/>
      <c r="U116" s="885">
        <f t="shared" si="197"/>
        <v>0</v>
      </c>
      <c r="V116" s="889">
        <f t="shared" si="197"/>
        <v>0</v>
      </c>
      <c r="W116" s="884"/>
      <c r="X116" s="885"/>
      <c r="Y116" s="885">
        <f t="shared" si="210"/>
        <v>0</v>
      </c>
      <c r="Z116" s="885">
        <f t="shared" si="210"/>
        <v>0</v>
      </c>
      <c r="AA116" s="886">
        <f t="shared" si="198"/>
        <v>0</v>
      </c>
      <c r="AB116" s="884"/>
      <c r="AC116" s="885"/>
      <c r="AD116" s="885">
        <f t="shared" si="211"/>
        <v>0</v>
      </c>
      <c r="AE116" s="885">
        <f t="shared" si="211"/>
        <v>0</v>
      </c>
      <c r="AF116" s="886">
        <f t="shared" si="199"/>
        <v>0</v>
      </c>
      <c r="AG116" s="888"/>
      <c r="AH116" s="885">
        <f t="shared" si="200"/>
        <v>0</v>
      </c>
      <c r="AI116" s="889">
        <f t="shared" si="200"/>
        <v>0</v>
      </c>
      <c r="AJ116" s="888"/>
      <c r="AK116" s="885">
        <f t="shared" si="200"/>
        <v>0</v>
      </c>
      <c r="AL116" s="889">
        <f t="shared" si="200"/>
        <v>0</v>
      </c>
      <c r="AM116" s="888"/>
      <c r="AN116" s="885">
        <f t="shared" si="200"/>
        <v>0</v>
      </c>
      <c r="AO116" s="889">
        <f t="shared" si="200"/>
        <v>0</v>
      </c>
      <c r="AP116" s="888"/>
      <c r="AQ116" s="885">
        <f t="shared" si="200"/>
        <v>0</v>
      </c>
      <c r="AR116" s="889">
        <f t="shared" si="200"/>
        <v>0</v>
      </c>
      <c r="AS116" s="890"/>
      <c r="AT116" s="874"/>
      <c r="AU116" s="884"/>
      <c r="AV116" s="885"/>
      <c r="AW116" s="885">
        <f t="shared" si="212"/>
        <v>0</v>
      </c>
      <c r="AX116" s="885">
        <f t="shared" si="212"/>
        <v>0</v>
      </c>
      <c r="AY116" s="891"/>
      <c r="AZ116" s="892"/>
      <c r="BA116" s="892">
        <f t="shared" si="201"/>
        <v>0</v>
      </c>
      <c r="BB116" s="892">
        <f t="shared" si="201"/>
        <v>0</v>
      </c>
      <c r="BC116" s="884"/>
      <c r="BD116" s="885"/>
      <c r="BE116" s="885">
        <f t="shared" si="213"/>
        <v>0</v>
      </c>
      <c r="BF116" s="885">
        <f t="shared" si="213"/>
        <v>0</v>
      </c>
      <c r="BG116" s="893">
        <f t="shared" si="202"/>
        <v>0</v>
      </c>
      <c r="BH116" s="892">
        <f t="shared" si="203"/>
        <v>0</v>
      </c>
      <c r="BI116" s="894">
        <f t="shared" si="204"/>
        <v>0</v>
      </c>
      <c r="BJ116" s="895"/>
      <c r="BK116" s="874"/>
      <c r="BL116" s="884"/>
      <c r="BM116" s="885"/>
      <c r="BN116" s="885">
        <f t="shared" si="214"/>
        <v>0</v>
      </c>
      <c r="BO116" s="885">
        <f t="shared" si="214"/>
        <v>0</v>
      </c>
      <c r="BP116" s="884"/>
      <c r="BQ116" s="885"/>
      <c r="BR116" s="892">
        <f t="shared" si="205"/>
        <v>0</v>
      </c>
      <c r="BS116" s="894">
        <f t="shared" si="205"/>
        <v>0</v>
      </c>
      <c r="BT116" s="874"/>
      <c r="BU116" s="884"/>
      <c r="BV116" s="885"/>
      <c r="BW116" s="885">
        <f t="shared" si="215"/>
        <v>0</v>
      </c>
      <c r="BX116" s="885">
        <f t="shared" si="215"/>
        <v>0</v>
      </c>
      <c r="BY116" s="891"/>
      <c r="BZ116" s="892"/>
      <c r="CA116" s="892">
        <f t="shared" si="206"/>
        <v>0</v>
      </c>
      <c r="CB116" s="894">
        <f t="shared" si="206"/>
        <v>0</v>
      </c>
      <c r="CC116" s="874"/>
      <c r="CD116" s="874"/>
      <c r="CE116" s="874"/>
      <c r="CF116" s="874"/>
      <c r="CG116" s="874"/>
      <c r="CH116" s="874"/>
      <c r="CI116" s="874"/>
      <c r="CJ116" s="874"/>
      <c r="CK116" s="874"/>
      <c r="CL116" s="874"/>
      <c r="CM116" s="874"/>
      <c r="CN116" s="874"/>
      <c r="CO116" s="874"/>
      <c r="CP116" s="874"/>
      <c r="CQ116" s="874"/>
      <c r="CR116" s="874"/>
      <c r="CS116" s="874"/>
      <c r="CT116" s="874"/>
      <c r="CU116" s="874"/>
      <c r="CV116" s="874"/>
      <c r="CW116" s="874"/>
      <c r="CX116" s="874"/>
      <c r="CY116" s="874"/>
      <c r="CZ116" s="874"/>
      <c r="DA116" s="874"/>
      <c r="DB116" s="874"/>
      <c r="DC116" s="874"/>
      <c r="DD116" s="874"/>
      <c r="DE116" s="874"/>
      <c r="DF116" s="874"/>
      <c r="DG116" s="874"/>
      <c r="DH116" s="874"/>
      <c r="DI116" s="874"/>
      <c r="DJ116" s="874"/>
      <c r="DK116" s="874"/>
      <c r="DL116" s="874"/>
      <c r="DM116" s="874"/>
      <c r="DN116" s="874"/>
      <c r="DO116" s="874"/>
      <c r="DP116" s="874"/>
      <c r="DQ116" s="874"/>
      <c r="DR116" s="874"/>
      <c r="DS116" s="874"/>
      <c r="DT116" s="874"/>
      <c r="DU116" s="874"/>
      <c r="DV116" s="874"/>
      <c r="DW116" s="874"/>
      <c r="DX116" s="874"/>
      <c r="DY116" s="874"/>
      <c r="DZ116" s="874"/>
      <c r="EA116" s="874"/>
    </row>
    <row r="117" spans="1:131" ht="20.25">
      <c r="A117" s="896" t="s">
        <v>706</v>
      </c>
      <c r="B117" s="884"/>
      <c r="C117" s="885">
        <f>C126+C134+C142</f>
        <v>0</v>
      </c>
      <c r="D117" s="885"/>
      <c r="E117" s="885"/>
      <c r="F117" s="886"/>
      <c r="G117" s="884"/>
      <c r="H117" s="885">
        <f>H126+H134+H142</f>
        <v>0</v>
      </c>
      <c r="I117" s="885"/>
      <c r="J117" s="885"/>
      <c r="K117" s="886"/>
      <c r="L117" s="884"/>
      <c r="M117" s="885">
        <f>M126+M134+M142</f>
        <v>0</v>
      </c>
      <c r="N117" s="885"/>
      <c r="O117" s="885"/>
      <c r="P117" s="887"/>
      <c r="Q117" s="888">
        <f>Q126+Q134+Q142</f>
        <v>0</v>
      </c>
      <c r="R117" s="885"/>
      <c r="S117" s="889"/>
      <c r="T117" s="888">
        <f>T126+T134+T142</f>
        <v>0</v>
      </c>
      <c r="U117" s="885"/>
      <c r="V117" s="889"/>
      <c r="W117" s="884"/>
      <c r="X117" s="885">
        <f>X126+X134+X142</f>
        <v>0</v>
      </c>
      <c r="Y117" s="885"/>
      <c r="Z117" s="885"/>
      <c r="AA117" s="886"/>
      <c r="AB117" s="884"/>
      <c r="AC117" s="885">
        <f>AC126+AC134+AC142</f>
        <v>0</v>
      </c>
      <c r="AD117" s="885"/>
      <c r="AE117" s="885"/>
      <c r="AF117" s="886"/>
      <c r="AG117" s="888">
        <f>AG126+AG134+AG142</f>
        <v>0</v>
      </c>
      <c r="AH117" s="885"/>
      <c r="AI117" s="889"/>
      <c r="AJ117" s="888">
        <f>AJ126+AJ134+AJ142</f>
        <v>0</v>
      </c>
      <c r="AK117" s="885"/>
      <c r="AL117" s="889"/>
      <c r="AM117" s="888">
        <f>AM126+AM134+AM142</f>
        <v>0</v>
      </c>
      <c r="AN117" s="885"/>
      <c r="AO117" s="889"/>
      <c r="AP117" s="888">
        <f>AP126+AP134+AP142</f>
        <v>0</v>
      </c>
      <c r="AQ117" s="885"/>
      <c r="AR117" s="889"/>
      <c r="AS117" s="890"/>
      <c r="AT117" s="874"/>
      <c r="AU117" s="884"/>
      <c r="AV117" s="885">
        <f>AV126+AV134+AV142</f>
        <v>0</v>
      </c>
      <c r="AW117" s="885"/>
      <c r="AX117" s="885"/>
      <c r="AY117" s="891"/>
      <c r="AZ117" s="892">
        <f>IF(M117=0,0,AC117/M117*100)</f>
        <v>0</v>
      </c>
      <c r="BA117" s="892"/>
      <c r="BB117" s="892"/>
      <c r="BC117" s="884"/>
      <c r="BD117" s="885">
        <f>BD126+BD134+BD142</f>
        <v>0</v>
      </c>
      <c r="BE117" s="885"/>
      <c r="BF117" s="885"/>
      <c r="BG117" s="888"/>
      <c r="BH117" s="885"/>
      <c r="BI117" s="889"/>
      <c r="BJ117" s="895"/>
      <c r="BK117" s="874"/>
      <c r="BL117" s="884"/>
      <c r="BM117" s="885">
        <f>BM126+BM134+BM142</f>
        <v>0</v>
      </c>
      <c r="BN117" s="885"/>
      <c r="BO117" s="885"/>
      <c r="BP117" s="884"/>
      <c r="BQ117" s="892">
        <f>IF(X117=0,0,AC117/X117*100)</f>
        <v>0</v>
      </c>
      <c r="BR117" s="885"/>
      <c r="BS117" s="889"/>
      <c r="BT117" s="874"/>
      <c r="BU117" s="884"/>
      <c r="BV117" s="885">
        <f>BV126+BV134+BV142</f>
        <v>0</v>
      </c>
      <c r="BW117" s="885"/>
      <c r="BX117" s="885"/>
      <c r="BY117" s="891"/>
      <c r="BZ117" s="892">
        <f>IF(C117=0,0,AC117/C117*100)</f>
        <v>0</v>
      </c>
      <c r="CA117" s="892"/>
      <c r="CB117" s="894"/>
      <c r="CC117" s="874"/>
      <c r="CD117" s="874"/>
      <c r="CE117" s="874"/>
      <c r="CF117" s="874"/>
      <c r="CG117" s="874"/>
      <c r="CH117" s="874"/>
      <c r="CI117" s="874"/>
      <c r="CJ117" s="874"/>
      <c r="CK117" s="874"/>
      <c r="CL117" s="874"/>
      <c r="CM117" s="874"/>
      <c r="CN117" s="874"/>
      <c r="CO117" s="874"/>
      <c r="CP117" s="874"/>
      <c r="CQ117" s="874"/>
      <c r="CR117" s="874"/>
      <c r="CS117" s="874"/>
      <c r="CT117" s="874"/>
      <c r="CU117" s="874"/>
      <c r="CV117" s="874"/>
      <c r="CW117" s="874"/>
      <c r="CX117" s="874"/>
      <c r="CY117" s="874"/>
      <c r="CZ117" s="874"/>
      <c r="DA117" s="874"/>
      <c r="DB117" s="874"/>
      <c r="DC117" s="874"/>
      <c r="DD117" s="874"/>
      <c r="DE117" s="874"/>
      <c r="DF117" s="874"/>
      <c r="DG117" s="874"/>
      <c r="DH117" s="874"/>
      <c r="DI117" s="874"/>
      <c r="DJ117" s="874"/>
      <c r="DK117" s="874"/>
      <c r="DL117" s="874"/>
      <c r="DM117" s="874"/>
      <c r="DN117" s="874"/>
      <c r="DO117" s="874"/>
      <c r="DP117" s="874"/>
      <c r="DQ117" s="874"/>
      <c r="DR117" s="874"/>
      <c r="DS117" s="874"/>
      <c r="DT117" s="874"/>
      <c r="DU117" s="874"/>
      <c r="DV117" s="874"/>
      <c r="DW117" s="874"/>
      <c r="DX117" s="874"/>
      <c r="DY117" s="874"/>
      <c r="DZ117" s="874"/>
      <c r="EA117" s="874"/>
    </row>
    <row r="118" spans="1:131" ht="20.25">
      <c r="A118" s="883" t="s">
        <v>534</v>
      </c>
      <c r="B118" s="884"/>
      <c r="C118" s="899"/>
      <c r="D118" s="899"/>
      <c r="E118" s="899"/>
      <c r="F118" s="902"/>
      <c r="G118" s="884"/>
      <c r="H118" s="899"/>
      <c r="I118" s="899"/>
      <c r="J118" s="899"/>
      <c r="K118" s="902"/>
      <c r="L118" s="884"/>
      <c r="M118" s="899"/>
      <c r="N118" s="899"/>
      <c r="O118" s="899"/>
      <c r="P118" s="907"/>
      <c r="Q118" s="884"/>
      <c r="R118" s="899"/>
      <c r="S118" s="902"/>
      <c r="T118" s="884"/>
      <c r="U118" s="899"/>
      <c r="V118" s="902"/>
      <c r="W118" s="884"/>
      <c r="X118" s="899"/>
      <c r="Y118" s="899"/>
      <c r="Z118" s="899"/>
      <c r="AA118" s="902"/>
      <c r="AB118" s="884"/>
      <c r="AC118" s="899"/>
      <c r="AD118" s="899"/>
      <c r="AE118" s="899"/>
      <c r="AF118" s="902"/>
      <c r="AG118" s="884"/>
      <c r="AH118" s="899"/>
      <c r="AI118" s="902"/>
      <c r="AJ118" s="884"/>
      <c r="AK118" s="899"/>
      <c r="AL118" s="902"/>
      <c r="AM118" s="884"/>
      <c r="AN118" s="899"/>
      <c r="AO118" s="902"/>
      <c r="AP118" s="884"/>
      <c r="AQ118" s="899"/>
      <c r="AR118" s="902"/>
      <c r="AS118" s="903"/>
      <c r="AT118" s="874"/>
      <c r="AU118" s="884"/>
      <c r="AV118" s="899"/>
      <c r="AW118" s="899"/>
      <c r="AX118" s="899"/>
      <c r="AY118" s="891"/>
      <c r="AZ118" s="904"/>
      <c r="BA118" s="904"/>
      <c r="BB118" s="904"/>
      <c r="BC118" s="884"/>
      <c r="BD118" s="899"/>
      <c r="BE118" s="899"/>
      <c r="BF118" s="899"/>
      <c r="BG118" s="884"/>
      <c r="BH118" s="899"/>
      <c r="BI118" s="902"/>
      <c r="BJ118" s="905"/>
      <c r="BK118" s="874"/>
      <c r="BL118" s="884"/>
      <c r="BM118" s="899"/>
      <c r="BN118" s="899"/>
      <c r="BO118" s="899"/>
      <c r="BP118" s="884"/>
      <c r="BQ118" s="899"/>
      <c r="BR118" s="899"/>
      <c r="BS118" s="902"/>
      <c r="BT118" s="874"/>
      <c r="BU118" s="884"/>
      <c r="BV118" s="899"/>
      <c r="BW118" s="899"/>
      <c r="BX118" s="899"/>
      <c r="BY118" s="891"/>
      <c r="BZ118" s="904"/>
      <c r="CA118" s="904"/>
      <c r="CB118" s="906"/>
      <c r="CC118" s="874"/>
      <c r="CD118" s="874"/>
      <c r="CE118" s="874"/>
      <c r="CF118" s="874"/>
      <c r="CG118" s="874"/>
      <c r="CH118" s="874"/>
      <c r="CI118" s="874"/>
      <c r="CJ118" s="874"/>
      <c r="CK118" s="874"/>
      <c r="CL118" s="874"/>
      <c r="CM118" s="874"/>
      <c r="CN118" s="874"/>
      <c r="CO118" s="874"/>
      <c r="CP118" s="874"/>
      <c r="CQ118" s="874"/>
      <c r="CR118" s="874"/>
      <c r="CS118" s="874"/>
      <c r="CT118" s="874"/>
      <c r="CU118" s="874"/>
      <c r="CV118" s="874"/>
      <c r="CW118" s="874"/>
      <c r="CX118" s="874"/>
      <c r="CY118" s="874"/>
      <c r="CZ118" s="874"/>
      <c r="DA118" s="874"/>
      <c r="DB118" s="874"/>
      <c r="DC118" s="874"/>
      <c r="DD118" s="874"/>
      <c r="DE118" s="874"/>
      <c r="DF118" s="874"/>
      <c r="DG118" s="874"/>
      <c r="DH118" s="874"/>
      <c r="DI118" s="874"/>
      <c r="DJ118" s="874"/>
      <c r="DK118" s="874"/>
      <c r="DL118" s="874"/>
      <c r="DM118" s="874"/>
      <c r="DN118" s="874"/>
      <c r="DO118" s="874"/>
      <c r="DP118" s="874"/>
      <c r="DQ118" s="874"/>
      <c r="DR118" s="874"/>
      <c r="DS118" s="874"/>
      <c r="DT118" s="874"/>
      <c r="DU118" s="874"/>
      <c r="DV118" s="874"/>
      <c r="DW118" s="874"/>
      <c r="DX118" s="874"/>
      <c r="DY118" s="874"/>
      <c r="DZ118" s="874"/>
      <c r="EA118" s="874"/>
    </row>
    <row r="119" spans="1:131" s="915" customFormat="1" ht="19.5" customHeight="1">
      <c r="A119" s="916" t="s">
        <v>714</v>
      </c>
      <c r="B119" s="884">
        <f>C119+D119</f>
        <v>14953357362</v>
      </c>
      <c r="C119" s="917">
        <v>94363351</v>
      </c>
      <c r="D119" s="899">
        <f>SUM(D120:D121,D124:D125)</f>
        <v>14858994011</v>
      </c>
      <c r="E119" s="899">
        <f>SUM(E120:E121,E124:E125)</f>
        <v>41848</v>
      </c>
      <c r="F119" s="886">
        <f t="shared" ref="F119:F125" si="216">IF(E119=0,0,ROUND(D119/E119/12,0))</f>
        <v>29589</v>
      </c>
      <c r="G119" s="884">
        <f>H119+I119</f>
        <v>15335267627</v>
      </c>
      <c r="H119" s="917">
        <v>89878534</v>
      </c>
      <c r="I119" s="899">
        <f>SUM(I120:I121,I124:I125)</f>
        <v>15245389093</v>
      </c>
      <c r="J119" s="899">
        <f>SUM(J120:J121,J124:J125)</f>
        <v>43082</v>
      </c>
      <c r="K119" s="886">
        <f t="shared" ref="K119:K125" si="217">IF(J119=0,0,ROUND(I119/J119/12,0))</f>
        <v>29489</v>
      </c>
      <c r="L119" s="884">
        <f>M119+N119</f>
        <v>15777947563</v>
      </c>
      <c r="M119" s="917">
        <v>100046104</v>
      </c>
      <c r="N119" s="899">
        <f>SUM(N120:N121,N124:N125)</f>
        <v>15677901459</v>
      </c>
      <c r="O119" s="899">
        <f>SUM(O120:O121,O124:O125)</f>
        <v>43210</v>
      </c>
      <c r="P119" s="887">
        <f t="shared" ref="P119:P125" si="218">IF(O119=0,0,ROUND(N119/O119/12,0))</f>
        <v>30236</v>
      </c>
      <c r="Q119" s="920">
        <f>[6]LRZ!$J$17+172478.53-20000</f>
        <v>617250.53</v>
      </c>
      <c r="R119" s="899">
        <f>SUM(R120:R121,R124:R125)</f>
        <v>79616844.859999999</v>
      </c>
      <c r="S119" s="902">
        <f>SUM(S120:S121,S124:S125)</f>
        <v>0</v>
      </c>
      <c r="T119" s="920"/>
      <c r="U119" s="899">
        <f>SUM(U120:U121,U124:U125)</f>
        <v>0</v>
      </c>
      <c r="V119" s="902">
        <f>SUM(V120:V121,V124:V125)</f>
        <v>0</v>
      </c>
      <c r="W119" s="884">
        <f>X119+Y119</f>
        <v>15858181658.390001</v>
      </c>
      <c r="X119" s="899">
        <f>M119+Q119-T119</f>
        <v>100663354.53</v>
      </c>
      <c r="Y119" s="899">
        <f>SUM(Y120:Y121,Y124:Y125)</f>
        <v>15757518303.860001</v>
      </c>
      <c r="Z119" s="899">
        <f>SUM(Z120:Z121,Z124:Z125)</f>
        <v>43210</v>
      </c>
      <c r="AA119" s="886">
        <f t="shared" ref="AA119:AA125" si="219">IF(Z119=0,0,ROUND(Y119/Z119/12,0))</f>
        <v>30389</v>
      </c>
      <c r="AB119" s="884">
        <f>AC119+AD119</f>
        <v>15857361224.619999</v>
      </c>
      <c r="AC119" s="918">
        <f>[7]LRZ!$F$17</f>
        <v>100514632</v>
      </c>
      <c r="AD119" s="899">
        <f>SUM(AD120:AD121,AD124:AD125)</f>
        <v>15756846592.619999</v>
      </c>
      <c r="AE119" s="899">
        <f>SUM(AE120:AE121,AE124:AE125)</f>
        <v>42372</v>
      </c>
      <c r="AF119" s="886">
        <f t="shared" ref="AF119:AF125" si="220">IF(AE119=0,0,ROUND(AD119/AE119/12,0))</f>
        <v>30989</v>
      </c>
      <c r="AG119" s="920">
        <f>75860+76390+50000+64627+123084+31317</f>
        <v>421278</v>
      </c>
      <c r="AH119" s="899">
        <f>SUM(AH120:AH121,AH124:AH125)</f>
        <v>79616844.859999999</v>
      </c>
      <c r="AI119" s="902">
        <f>SUM(AI120:AI121,AI124:AI125)</f>
        <v>0</v>
      </c>
      <c r="AJ119" s="920">
        <v>0</v>
      </c>
      <c r="AK119" s="899">
        <f>SUM(AK120:AK121,AK124:AK125)</f>
        <v>0</v>
      </c>
      <c r="AL119" s="902">
        <f>SUM(AL120:AL121,AL124:AL125)</f>
        <v>0</v>
      </c>
      <c r="AM119" s="920">
        <v>114014</v>
      </c>
      <c r="AN119" s="899">
        <f>SUM(AN120:AN121,AN124:AN125)</f>
        <v>0</v>
      </c>
      <c r="AO119" s="902">
        <f>SUM(AO120:AO121,AO124:AO125)</f>
        <v>0</v>
      </c>
      <c r="AP119" s="920"/>
      <c r="AQ119" s="899">
        <f>SUM(AQ120:AQ121,AQ124:AQ125)</f>
        <v>0</v>
      </c>
      <c r="AR119" s="902">
        <f>SUM(AR120:AR121,AR124:AR125)</f>
        <v>0</v>
      </c>
      <c r="AS119" s="903"/>
      <c r="AT119" s="874"/>
      <c r="AU119" s="884">
        <f>AV119+AW119</f>
        <v>79413661.619999409</v>
      </c>
      <c r="AV119" s="899">
        <f>AC119-M119</f>
        <v>468528</v>
      </c>
      <c r="AW119" s="899">
        <f>SUM(AW120:AW121,AW124:AW125)</f>
        <v>78945133.619999409</v>
      </c>
      <c r="AX119" s="899">
        <f>SUM(AX120:AX121,AX124:AX125)</f>
        <v>-838</v>
      </c>
      <c r="AY119" s="891">
        <f>IF(L119=0,0,AB119/L119*100)</f>
        <v>100.50332060810132</v>
      </c>
      <c r="AZ119" s="904">
        <f>IF(M119=0,0,AC119/M119*100)</f>
        <v>100.4683120893943</v>
      </c>
      <c r="BA119" s="904">
        <f>IF(N119=0,0,AD119/N119*100)</f>
        <v>100.50354400955032</v>
      </c>
      <c r="BB119" s="904">
        <f>IF(O119=0,0,AE119/O119*100)</f>
        <v>98.060634112473963</v>
      </c>
      <c r="BC119" s="884">
        <f>BD119+BE119</f>
        <v>-738475.24000059068</v>
      </c>
      <c r="BD119" s="899">
        <f>AC119-M119-AG119-AJ119-AM119-AP119</f>
        <v>-66764</v>
      </c>
      <c r="BE119" s="899">
        <f>SUM(BE120:BE121,BE124:BE125)</f>
        <v>-671711.24000059068</v>
      </c>
      <c r="BF119" s="899">
        <f>SUM(BF120:BF121,BF124:BF125)</f>
        <v>-838</v>
      </c>
      <c r="BG119" s="891">
        <f t="shared" ref="BG119:BG125" si="221">IF(F119=0,0,AF119/F119*100)</f>
        <v>104.73148805299266</v>
      </c>
      <c r="BH119" s="904">
        <f t="shared" ref="BH119:BH125" si="222">IF(K119=0,0,AF119/K119*100)</f>
        <v>105.08664247685577</v>
      </c>
      <c r="BI119" s="906">
        <f t="shared" ref="BI119:BI125" si="223">IF(P119=0,0,AF119/P119*100)</f>
        <v>102.49040878423072</v>
      </c>
      <c r="BJ119" s="905"/>
      <c r="BK119" s="874"/>
      <c r="BL119" s="884">
        <f>BM119+BN119</f>
        <v>-820433.77000048757</v>
      </c>
      <c r="BM119" s="899">
        <f>AC119-X119</f>
        <v>-148722.53000000119</v>
      </c>
      <c r="BN119" s="899">
        <f>SUM(BN120:BN121,BN124:BN125)</f>
        <v>-671711.24000048637</v>
      </c>
      <c r="BO119" s="899">
        <f>SUM(BO120:BO121,BO124:BO125)</f>
        <v>-838</v>
      </c>
      <c r="BP119" s="891">
        <f>IF(W119=0,0,AB119/W119*100)</f>
        <v>99.994826432262698</v>
      </c>
      <c r="BQ119" s="904">
        <f>IF(X119=0,0,AC119/X119*100)</f>
        <v>99.852257526391412</v>
      </c>
      <c r="BR119" s="904">
        <f>IF(Y119=0,0,AD119/Y119*100)</f>
        <v>99.99573720158817</v>
      </c>
      <c r="BS119" s="906">
        <f>IF(Z119=0,0,AE119/Z119*100)</f>
        <v>98.060634112473963</v>
      </c>
      <c r="BT119" s="874"/>
      <c r="BU119" s="884">
        <f>BV119+BW119</f>
        <v>904003862.61999941</v>
      </c>
      <c r="BV119" s="899">
        <f>AC119-C119</f>
        <v>6151281</v>
      </c>
      <c r="BW119" s="899">
        <f>SUM(BW120:BW121,BW124:BW125)</f>
        <v>897852581.61999941</v>
      </c>
      <c r="BX119" s="899">
        <f>SUM(BX120:BX121,BX124:BX125)</f>
        <v>524</v>
      </c>
      <c r="BY119" s="891">
        <f>IF(B119=0,0,AB119/B119*100)</f>
        <v>106.04549092712307</v>
      </c>
      <c r="BZ119" s="904">
        <f>IF(C119=0,0,AC119/C119*100)</f>
        <v>106.51871826806997</v>
      </c>
      <c r="CA119" s="904">
        <f>IF(D119=0,0,AD119/D119*100)</f>
        <v>106.04248565518854</v>
      </c>
      <c r="CB119" s="906">
        <f>IF(E119=0,0,AE119/E119*100)</f>
        <v>101.25215064041294</v>
      </c>
      <c r="CC119" s="874"/>
      <c r="CD119" s="874"/>
      <c r="CE119" s="874"/>
      <c r="CF119" s="874"/>
      <c r="CG119" s="874"/>
      <c r="CH119" s="874"/>
      <c r="CI119" s="874"/>
      <c r="CJ119" s="874"/>
      <c r="CK119" s="874"/>
      <c r="CL119" s="874"/>
      <c r="CM119" s="874"/>
      <c r="CN119" s="874"/>
      <c r="CO119" s="874"/>
      <c r="CP119" s="874"/>
      <c r="CQ119" s="874"/>
      <c r="CR119" s="874"/>
      <c r="CS119" s="874"/>
      <c r="CT119" s="874"/>
      <c r="CU119" s="874"/>
      <c r="CV119" s="874"/>
      <c r="CW119" s="874"/>
      <c r="CX119" s="874"/>
      <c r="CY119" s="874"/>
      <c r="CZ119" s="874"/>
      <c r="DA119" s="874"/>
      <c r="DB119" s="874"/>
      <c r="DC119" s="874"/>
      <c r="DD119" s="874"/>
      <c r="DE119" s="874"/>
      <c r="DF119" s="874"/>
      <c r="DG119" s="874"/>
      <c r="DH119" s="874"/>
      <c r="DI119" s="874"/>
      <c r="DJ119" s="874"/>
      <c r="DK119" s="874"/>
      <c r="DL119" s="874"/>
      <c r="DM119" s="874"/>
      <c r="DN119" s="874"/>
      <c r="DO119" s="874"/>
      <c r="DP119" s="874"/>
      <c r="DQ119" s="874"/>
      <c r="DR119" s="874"/>
      <c r="DS119" s="874"/>
      <c r="DT119" s="874"/>
      <c r="DU119" s="874"/>
      <c r="DV119" s="874"/>
      <c r="DW119" s="874"/>
      <c r="DX119" s="874"/>
      <c r="DY119" s="874"/>
      <c r="DZ119" s="874"/>
      <c r="EA119" s="874"/>
    </row>
    <row r="120" spans="1:131" ht="20.25">
      <c r="A120" s="883" t="s">
        <v>700</v>
      </c>
      <c r="B120" s="884"/>
      <c r="C120" s="899"/>
      <c r="D120" s="917">
        <v>1794111952</v>
      </c>
      <c r="E120" s="917">
        <v>7572</v>
      </c>
      <c r="F120" s="886">
        <f t="shared" si="216"/>
        <v>19745</v>
      </c>
      <c r="G120" s="884"/>
      <c r="H120" s="899"/>
      <c r="I120" s="917">
        <v>1702306407</v>
      </c>
      <c r="J120" s="917">
        <v>7860</v>
      </c>
      <c r="K120" s="886">
        <f t="shared" si="217"/>
        <v>18048</v>
      </c>
      <c r="L120" s="884"/>
      <c r="M120" s="899"/>
      <c r="N120" s="917">
        <v>1887988039</v>
      </c>
      <c r="O120" s="917">
        <v>7863</v>
      </c>
      <c r="P120" s="887">
        <f t="shared" si="218"/>
        <v>20009</v>
      </c>
      <c r="Q120" s="884"/>
      <c r="R120" s="918">
        <f>[6]LRZ!$I$18</f>
        <v>77803446.859999999</v>
      </c>
      <c r="S120" s="919"/>
      <c r="T120" s="884"/>
      <c r="U120" s="918"/>
      <c r="V120" s="919"/>
      <c r="W120" s="884"/>
      <c r="X120" s="899"/>
      <c r="Y120" s="899">
        <f t="shared" ref="Y120:Z125" si="224">N120+R120-U120</f>
        <v>1965791485.8599999</v>
      </c>
      <c r="Z120" s="899">
        <f t="shared" si="224"/>
        <v>7863</v>
      </c>
      <c r="AA120" s="886">
        <f t="shared" si="219"/>
        <v>20834</v>
      </c>
      <c r="AB120" s="884"/>
      <c r="AC120" s="899"/>
      <c r="AD120" s="918">
        <f>[7]LRZ!$E$18</f>
        <v>1965529690.3099999</v>
      </c>
      <c r="AE120" s="918">
        <f>[7]PČR!$E$63</f>
        <v>7657</v>
      </c>
      <c r="AF120" s="886">
        <f t="shared" si="220"/>
        <v>21391</v>
      </c>
      <c r="AG120" s="884"/>
      <c r="AH120" s="918">
        <v>77803446.859999999</v>
      </c>
      <c r="AI120" s="919"/>
      <c r="AJ120" s="884"/>
      <c r="AK120" s="918"/>
      <c r="AL120" s="919"/>
      <c r="AM120" s="884"/>
      <c r="AN120" s="918"/>
      <c r="AO120" s="919"/>
      <c r="AP120" s="884"/>
      <c r="AQ120" s="918"/>
      <c r="AR120" s="919"/>
      <c r="AS120" s="903"/>
      <c r="AT120" s="874"/>
      <c r="AU120" s="884"/>
      <c r="AV120" s="899"/>
      <c r="AW120" s="899">
        <f t="shared" ref="AW120:AX125" si="225">AD120-N120</f>
        <v>77541651.309999943</v>
      </c>
      <c r="AX120" s="899">
        <f t="shared" si="225"/>
        <v>-206</v>
      </c>
      <c r="AY120" s="891"/>
      <c r="AZ120" s="904"/>
      <c r="BA120" s="904">
        <f t="shared" ref="BA120:BB125" si="226">IF(N120=0,0,AD120/N120*100)</f>
        <v>104.10710500851854</v>
      </c>
      <c r="BB120" s="904">
        <f t="shared" si="226"/>
        <v>97.380134808597234</v>
      </c>
      <c r="BC120" s="884"/>
      <c r="BD120" s="899"/>
      <c r="BE120" s="899">
        <f t="shared" ref="BE120:BF125" si="227">AD120-N120-AH120-AK120-AN120-AQ120</f>
        <v>-261795.55000005662</v>
      </c>
      <c r="BF120" s="899">
        <f t="shared" si="227"/>
        <v>-206</v>
      </c>
      <c r="BG120" s="891">
        <f t="shared" si="221"/>
        <v>108.336287667764</v>
      </c>
      <c r="BH120" s="904">
        <f t="shared" si="222"/>
        <v>118.52282801418438</v>
      </c>
      <c r="BI120" s="906">
        <f t="shared" si="223"/>
        <v>106.90689189864561</v>
      </c>
      <c r="BJ120" s="905"/>
      <c r="BK120" s="874"/>
      <c r="BL120" s="884"/>
      <c r="BM120" s="899"/>
      <c r="BN120" s="899">
        <f t="shared" ref="BN120:BO125" si="228">AD120-Y120</f>
        <v>-261795.54999995232</v>
      </c>
      <c r="BO120" s="899">
        <f t="shared" si="228"/>
        <v>-206</v>
      </c>
      <c r="BP120" s="884"/>
      <c r="BQ120" s="899"/>
      <c r="BR120" s="904">
        <f t="shared" ref="BR120:BS125" si="229">IF(Y120=0,0,AD120/Y120*100)</f>
        <v>99.986682435452437</v>
      </c>
      <c r="BS120" s="906">
        <f t="shared" si="229"/>
        <v>97.380134808597234</v>
      </c>
      <c r="BT120" s="874"/>
      <c r="BU120" s="884"/>
      <c r="BV120" s="899"/>
      <c r="BW120" s="899">
        <f t="shared" ref="BW120:BX125" si="230">AD120-D120</f>
        <v>171417738.30999994</v>
      </c>
      <c r="BX120" s="899">
        <f t="shared" si="230"/>
        <v>85</v>
      </c>
      <c r="BY120" s="891"/>
      <c r="BZ120" s="904"/>
      <c r="CA120" s="904">
        <f t="shared" ref="CA120:CB125" si="231">IF(D120=0,0,AD120/D120*100)</f>
        <v>109.55446164431994</v>
      </c>
      <c r="CB120" s="906">
        <f t="shared" si="231"/>
        <v>101.12255678816693</v>
      </c>
      <c r="CC120" s="874"/>
      <c r="CD120" s="874"/>
      <c r="CE120" s="874"/>
      <c r="CF120" s="874"/>
      <c r="CG120" s="874"/>
      <c r="CH120" s="874"/>
      <c r="CI120" s="874"/>
      <c r="CJ120" s="874"/>
      <c r="CK120" s="874"/>
      <c r="CL120" s="874"/>
      <c r="CM120" s="874"/>
      <c r="CN120" s="874"/>
      <c r="CO120" s="874"/>
      <c r="CP120" s="874"/>
      <c r="CQ120" s="874"/>
      <c r="CR120" s="874"/>
      <c r="CS120" s="874"/>
      <c r="CT120" s="874"/>
      <c r="CU120" s="874"/>
      <c r="CV120" s="874"/>
      <c r="CW120" s="874"/>
      <c r="CX120" s="874"/>
      <c r="CY120" s="874"/>
      <c r="CZ120" s="874"/>
      <c r="DA120" s="874"/>
      <c r="DB120" s="874"/>
      <c r="DC120" s="874"/>
      <c r="DD120" s="874"/>
      <c r="DE120" s="874"/>
      <c r="DF120" s="874"/>
      <c r="DG120" s="874"/>
      <c r="DH120" s="874"/>
      <c r="DI120" s="874"/>
      <c r="DJ120" s="874"/>
      <c r="DK120" s="874"/>
      <c r="DL120" s="874"/>
      <c r="DM120" s="874"/>
      <c r="DN120" s="874"/>
      <c r="DO120" s="874"/>
      <c r="DP120" s="874"/>
      <c r="DQ120" s="874"/>
      <c r="DR120" s="874"/>
      <c r="DS120" s="874"/>
      <c r="DT120" s="874"/>
      <c r="DU120" s="874"/>
      <c r="DV120" s="874"/>
      <c r="DW120" s="874"/>
      <c r="DX120" s="874"/>
      <c r="DY120" s="874"/>
      <c r="DZ120" s="874"/>
      <c r="EA120" s="874"/>
    </row>
    <row r="121" spans="1:131" ht="20.25">
      <c r="A121" s="896" t="s">
        <v>701</v>
      </c>
      <c r="B121" s="884"/>
      <c r="C121" s="899"/>
      <c r="D121" s="899">
        <v>13064882059</v>
      </c>
      <c r="E121" s="899">
        <v>34276</v>
      </c>
      <c r="F121" s="886">
        <f t="shared" si="216"/>
        <v>31764</v>
      </c>
      <c r="G121" s="884"/>
      <c r="H121" s="899"/>
      <c r="I121" s="899">
        <v>13543082686</v>
      </c>
      <c r="J121" s="899">
        <v>35222</v>
      </c>
      <c r="K121" s="886">
        <f t="shared" si="217"/>
        <v>32042</v>
      </c>
      <c r="L121" s="884"/>
      <c r="M121" s="899"/>
      <c r="N121" s="899">
        <v>13789913420</v>
      </c>
      <c r="O121" s="899">
        <v>35347</v>
      </c>
      <c r="P121" s="887">
        <f t="shared" si="218"/>
        <v>32511</v>
      </c>
      <c r="Q121" s="884"/>
      <c r="R121" s="923">
        <f>R122</f>
        <v>1813398</v>
      </c>
      <c r="S121" s="924">
        <f>S122</f>
        <v>0</v>
      </c>
      <c r="T121" s="884"/>
      <c r="U121" s="923">
        <f>U122</f>
        <v>0</v>
      </c>
      <c r="V121" s="924">
        <f>V122</f>
        <v>0</v>
      </c>
      <c r="W121" s="884"/>
      <c r="X121" s="899"/>
      <c r="Y121" s="899">
        <f>Y122</f>
        <v>13791726818</v>
      </c>
      <c r="Z121" s="899">
        <f>Z122</f>
        <v>35347</v>
      </c>
      <c r="AA121" s="886">
        <f t="shared" si="219"/>
        <v>32515</v>
      </c>
      <c r="AB121" s="884"/>
      <c r="AC121" s="899"/>
      <c r="AD121" s="923">
        <f>AD122</f>
        <v>13791316902.309999</v>
      </c>
      <c r="AE121" s="923">
        <f>AE122</f>
        <v>34715</v>
      </c>
      <c r="AF121" s="886">
        <f t="shared" si="220"/>
        <v>33106</v>
      </c>
      <c r="AG121" s="884"/>
      <c r="AH121" s="923">
        <v>1813398</v>
      </c>
      <c r="AI121" s="924">
        <f>AI122</f>
        <v>0</v>
      </c>
      <c r="AJ121" s="884"/>
      <c r="AK121" s="923">
        <f>AK122</f>
        <v>0</v>
      </c>
      <c r="AL121" s="924">
        <f>AL122</f>
        <v>0</v>
      </c>
      <c r="AM121" s="884"/>
      <c r="AN121" s="923">
        <f>AN122</f>
        <v>0</v>
      </c>
      <c r="AO121" s="924">
        <f>AO122</f>
        <v>0</v>
      </c>
      <c r="AP121" s="884"/>
      <c r="AQ121" s="923">
        <f>AQ122</f>
        <v>0</v>
      </c>
      <c r="AR121" s="924">
        <f>AR122</f>
        <v>0</v>
      </c>
      <c r="AS121" s="903"/>
      <c r="AT121" s="874"/>
      <c r="AU121" s="884"/>
      <c r="AV121" s="899"/>
      <c r="AW121" s="899">
        <f t="shared" si="225"/>
        <v>1403482.3099994659</v>
      </c>
      <c r="AX121" s="899">
        <f t="shared" si="225"/>
        <v>-632</v>
      </c>
      <c r="AY121" s="891"/>
      <c r="AZ121" s="904"/>
      <c r="BA121" s="904">
        <f t="shared" si="226"/>
        <v>100.01017760059294</v>
      </c>
      <c r="BB121" s="904">
        <f t="shared" si="226"/>
        <v>98.212012334851622</v>
      </c>
      <c r="BC121" s="884"/>
      <c r="BD121" s="899"/>
      <c r="BE121" s="899">
        <f t="shared" si="227"/>
        <v>-409915.69000053406</v>
      </c>
      <c r="BF121" s="899">
        <f t="shared" si="227"/>
        <v>-632</v>
      </c>
      <c r="BG121" s="891">
        <f t="shared" si="221"/>
        <v>104.22490870167485</v>
      </c>
      <c r="BH121" s="904">
        <f t="shared" si="222"/>
        <v>103.32064165782411</v>
      </c>
      <c r="BI121" s="906">
        <f t="shared" si="223"/>
        <v>101.83014979545383</v>
      </c>
      <c r="BJ121" s="905"/>
      <c r="BK121" s="874"/>
      <c r="BL121" s="884"/>
      <c r="BM121" s="899"/>
      <c r="BN121" s="899">
        <f t="shared" si="228"/>
        <v>-409915.69000053406</v>
      </c>
      <c r="BO121" s="899">
        <f t="shared" si="228"/>
        <v>-632</v>
      </c>
      <c r="BP121" s="884"/>
      <c r="BQ121" s="899"/>
      <c r="BR121" s="904">
        <f t="shared" si="229"/>
        <v>99.997027814606469</v>
      </c>
      <c r="BS121" s="906">
        <f t="shared" si="229"/>
        <v>98.212012334851622</v>
      </c>
      <c r="BT121" s="874"/>
      <c r="BU121" s="884"/>
      <c r="BV121" s="899"/>
      <c r="BW121" s="899">
        <f t="shared" si="230"/>
        <v>726434843.30999947</v>
      </c>
      <c r="BX121" s="899">
        <f t="shared" si="230"/>
        <v>439</v>
      </c>
      <c r="BY121" s="891"/>
      <c r="BZ121" s="904"/>
      <c r="CA121" s="904">
        <f t="shared" si="231"/>
        <v>105.5602097288707</v>
      </c>
      <c r="CB121" s="906">
        <f t="shared" si="231"/>
        <v>101.28077955420703</v>
      </c>
      <c r="CC121" s="874"/>
      <c r="CD121" s="874"/>
      <c r="CE121" s="874"/>
      <c r="CF121" s="874"/>
      <c r="CG121" s="874"/>
      <c r="CH121" s="874"/>
      <c r="CI121" s="874"/>
      <c r="CJ121" s="874"/>
      <c r="CK121" s="874"/>
      <c r="CL121" s="874"/>
      <c r="CM121" s="874"/>
      <c r="CN121" s="874"/>
      <c r="CO121" s="874"/>
      <c r="CP121" s="874"/>
      <c r="CQ121" s="874"/>
      <c r="CR121" s="874"/>
      <c r="CS121" s="874"/>
      <c r="CT121" s="874"/>
      <c r="CU121" s="874"/>
      <c r="CV121" s="874"/>
      <c r="CW121" s="874"/>
      <c r="CX121" s="874"/>
      <c r="CY121" s="874"/>
      <c r="CZ121" s="874"/>
      <c r="DA121" s="874"/>
      <c r="DB121" s="874"/>
      <c r="DC121" s="874"/>
      <c r="DD121" s="874"/>
      <c r="DE121" s="874"/>
      <c r="DF121" s="874"/>
      <c r="DG121" s="874"/>
      <c r="DH121" s="874"/>
      <c r="DI121" s="874"/>
      <c r="DJ121" s="874"/>
      <c r="DK121" s="874"/>
      <c r="DL121" s="874"/>
      <c r="DM121" s="874"/>
      <c r="DN121" s="874"/>
      <c r="DO121" s="874"/>
      <c r="DP121" s="874"/>
      <c r="DQ121" s="874"/>
      <c r="DR121" s="874"/>
      <c r="DS121" s="874"/>
      <c r="DT121" s="874"/>
      <c r="DU121" s="874"/>
      <c r="DV121" s="874"/>
      <c r="DW121" s="874"/>
      <c r="DX121" s="874"/>
      <c r="DY121" s="874"/>
      <c r="DZ121" s="874"/>
      <c r="EA121" s="874"/>
    </row>
    <row r="122" spans="1:131" ht="20.25">
      <c r="A122" s="896" t="s">
        <v>702</v>
      </c>
      <c r="B122" s="884"/>
      <c r="C122" s="899"/>
      <c r="D122" s="917">
        <v>13064882059</v>
      </c>
      <c r="E122" s="917">
        <v>34276</v>
      </c>
      <c r="F122" s="886">
        <f t="shared" si="216"/>
        <v>31764</v>
      </c>
      <c r="G122" s="884"/>
      <c r="H122" s="899"/>
      <c r="I122" s="917">
        <v>13543082686</v>
      </c>
      <c r="J122" s="917">
        <v>35222</v>
      </c>
      <c r="K122" s="886">
        <f t="shared" si="217"/>
        <v>32042</v>
      </c>
      <c r="L122" s="884"/>
      <c r="M122" s="899"/>
      <c r="N122" s="917">
        <v>13789913420</v>
      </c>
      <c r="O122" s="917">
        <v>35347</v>
      </c>
      <c r="P122" s="887">
        <f t="shared" si="218"/>
        <v>32511</v>
      </c>
      <c r="Q122" s="884"/>
      <c r="R122" s="918">
        <f>[6]LRZ!$I$19</f>
        <v>1813398</v>
      </c>
      <c r="S122" s="919"/>
      <c r="T122" s="884"/>
      <c r="U122" s="918"/>
      <c r="V122" s="919"/>
      <c r="W122" s="884"/>
      <c r="X122" s="899"/>
      <c r="Y122" s="899">
        <f t="shared" si="224"/>
        <v>13791726818</v>
      </c>
      <c r="Z122" s="899">
        <f t="shared" si="224"/>
        <v>35347</v>
      </c>
      <c r="AA122" s="886">
        <f t="shared" si="219"/>
        <v>32515</v>
      </c>
      <c r="AB122" s="884"/>
      <c r="AC122" s="899"/>
      <c r="AD122" s="918">
        <f>[7]LRZ!$E$19</f>
        <v>13791316902.309999</v>
      </c>
      <c r="AE122" s="918">
        <f>[7]PČR!$E$62</f>
        <v>34715</v>
      </c>
      <c r="AF122" s="886">
        <f t="shared" si="220"/>
        <v>33106</v>
      </c>
      <c r="AG122" s="884"/>
      <c r="AH122" s="918">
        <v>1813398</v>
      </c>
      <c r="AI122" s="919"/>
      <c r="AJ122" s="884"/>
      <c r="AK122" s="918"/>
      <c r="AL122" s="919"/>
      <c r="AM122" s="884"/>
      <c r="AN122" s="918"/>
      <c r="AO122" s="919"/>
      <c r="AP122" s="884"/>
      <c r="AQ122" s="918"/>
      <c r="AR122" s="919"/>
      <c r="AS122" s="903"/>
      <c r="AT122" s="874"/>
      <c r="AU122" s="884"/>
      <c r="AV122" s="899"/>
      <c r="AW122" s="899">
        <f t="shared" si="225"/>
        <v>1403482.3099994659</v>
      </c>
      <c r="AX122" s="899">
        <f t="shared" si="225"/>
        <v>-632</v>
      </c>
      <c r="AY122" s="891"/>
      <c r="AZ122" s="904"/>
      <c r="BA122" s="904">
        <f t="shared" si="226"/>
        <v>100.01017760059294</v>
      </c>
      <c r="BB122" s="904">
        <f t="shared" si="226"/>
        <v>98.212012334851622</v>
      </c>
      <c r="BC122" s="884"/>
      <c r="BD122" s="899"/>
      <c r="BE122" s="899">
        <f t="shared" si="227"/>
        <v>-409915.69000053406</v>
      </c>
      <c r="BF122" s="899">
        <f t="shared" si="227"/>
        <v>-632</v>
      </c>
      <c r="BG122" s="891">
        <f t="shared" si="221"/>
        <v>104.22490870167485</v>
      </c>
      <c r="BH122" s="904">
        <f t="shared" si="222"/>
        <v>103.32064165782411</v>
      </c>
      <c r="BI122" s="906">
        <f t="shared" si="223"/>
        <v>101.83014979545383</v>
      </c>
      <c r="BJ122" s="905"/>
      <c r="BK122" s="874"/>
      <c r="BL122" s="884"/>
      <c r="BM122" s="899"/>
      <c r="BN122" s="899">
        <f t="shared" si="228"/>
        <v>-409915.69000053406</v>
      </c>
      <c r="BO122" s="899">
        <f t="shared" si="228"/>
        <v>-632</v>
      </c>
      <c r="BP122" s="884"/>
      <c r="BQ122" s="899"/>
      <c r="BR122" s="904">
        <f t="shared" si="229"/>
        <v>99.997027814606469</v>
      </c>
      <c r="BS122" s="906">
        <f t="shared" si="229"/>
        <v>98.212012334851622</v>
      </c>
      <c r="BT122" s="874"/>
      <c r="BU122" s="884"/>
      <c r="BV122" s="899"/>
      <c r="BW122" s="899">
        <f t="shared" si="230"/>
        <v>726434843.30999947</v>
      </c>
      <c r="BX122" s="899">
        <f t="shared" si="230"/>
        <v>439</v>
      </c>
      <c r="BY122" s="891"/>
      <c r="BZ122" s="904"/>
      <c r="CA122" s="904">
        <f t="shared" si="231"/>
        <v>105.5602097288707</v>
      </c>
      <c r="CB122" s="906">
        <f t="shared" si="231"/>
        <v>101.28077955420703</v>
      </c>
      <c r="CC122" s="874"/>
      <c r="CD122" s="874"/>
      <c r="CE122" s="874"/>
      <c r="CF122" s="874"/>
      <c r="CG122" s="874"/>
      <c r="CH122" s="874"/>
      <c r="CI122" s="874"/>
      <c r="CJ122" s="874"/>
      <c r="CK122" s="874"/>
      <c r="CL122" s="874"/>
      <c r="CM122" s="874"/>
      <c r="CN122" s="874"/>
      <c r="CO122" s="874"/>
      <c r="CP122" s="874"/>
      <c r="CQ122" s="874"/>
      <c r="CR122" s="874"/>
      <c r="CS122" s="874"/>
      <c r="CT122" s="874"/>
      <c r="CU122" s="874"/>
      <c r="CV122" s="874"/>
      <c r="CW122" s="874"/>
      <c r="CX122" s="874"/>
      <c r="CY122" s="874"/>
      <c r="CZ122" s="874"/>
      <c r="DA122" s="874"/>
      <c r="DB122" s="874"/>
      <c r="DC122" s="874"/>
      <c r="DD122" s="874"/>
      <c r="DE122" s="874"/>
      <c r="DF122" s="874"/>
      <c r="DG122" s="874"/>
      <c r="DH122" s="874"/>
      <c r="DI122" s="874"/>
      <c r="DJ122" s="874"/>
      <c r="DK122" s="874"/>
      <c r="DL122" s="874"/>
      <c r="DM122" s="874"/>
      <c r="DN122" s="874"/>
      <c r="DO122" s="874"/>
      <c r="DP122" s="874"/>
      <c r="DQ122" s="874"/>
      <c r="DR122" s="874"/>
      <c r="DS122" s="874"/>
      <c r="DT122" s="874"/>
      <c r="DU122" s="874"/>
      <c r="DV122" s="874"/>
      <c r="DW122" s="874"/>
      <c r="DX122" s="874"/>
      <c r="DY122" s="874"/>
      <c r="DZ122" s="874"/>
      <c r="EA122" s="874"/>
    </row>
    <row r="123" spans="1:131" ht="20.25" hidden="1">
      <c r="A123" s="896" t="s">
        <v>703</v>
      </c>
      <c r="B123" s="884"/>
      <c r="C123" s="899"/>
      <c r="D123" s="917">
        <v>0</v>
      </c>
      <c r="E123" s="917">
        <v>0</v>
      </c>
      <c r="F123" s="886">
        <f t="shared" si="216"/>
        <v>0</v>
      </c>
      <c r="G123" s="884"/>
      <c r="H123" s="899"/>
      <c r="I123" s="917">
        <v>0</v>
      </c>
      <c r="J123" s="917">
        <v>0</v>
      </c>
      <c r="K123" s="886">
        <f t="shared" si="217"/>
        <v>0</v>
      </c>
      <c r="L123" s="884"/>
      <c r="M123" s="899"/>
      <c r="N123" s="917">
        <v>0</v>
      </c>
      <c r="O123" s="917">
        <v>0</v>
      </c>
      <c r="P123" s="887">
        <f t="shared" si="218"/>
        <v>0</v>
      </c>
      <c r="Q123" s="884"/>
      <c r="R123" s="918"/>
      <c r="S123" s="919"/>
      <c r="T123" s="884"/>
      <c r="U123" s="918"/>
      <c r="V123" s="919"/>
      <c r="W123" s="884"/>
      <c r="X123" s="899"/>
      <c r="Y123" s="899">
        <f t="shared" si="224"/>
        <v>0</v>
      </c>
      <c r="Z123" s="899">
        <f t="shared" si="224"/>
        <v>0</v>
      </c>
      <c r="AA123" s="886">
        <f t="shared" si="219"/>
        <v>0</v>
      </c>
      <c r="AB123" s="884"/>
      <c r="AC123" s="899"/>
      <c r="AD123" s="918"/>
      <c r="AE123" s="918"/>
      <c r="AF123" s="886">
        <f t="shared" si="220"/>
        <v>0</v>
      </c>
      <c r="AG123" s="884"/>
      <c r="AH123" s="918"/>
      <c r="AI123" s="919"/>
      <c r="AJ123" s="884"/>
      <c r="AK123" s="918"/>
      <c r="AL123" s="919"/>
      <c r="AM123" s="884"/>
      <c r="AN123" s="918"/>
      <c r="AO123" s="919"/>
      <c r="AP123" s="884"/>
      <c r="AQ123" s="918"/>
      <c r="AR123" s="919"/>
      <c r="AS123" s="903"/>
      <c r="AT123" s="874"/>
      <c r="AU123" s="884"/>
      <c r="AV123" s="899"/>
      <c r="AW123" s="899">
        <f t="shared" si="225"/>
        <v>0</v>
      </c>
      <c r="AX123" s="899">
        <f t="shared" si="225"/>
        <v>0</v>
      </c>
      <c r="AY123" s="891"/>
      <c r="AZ123" s="904"/>
      <c r="BA123" s="904">
        <f t="shared" si="226"/>
        <v>0</v>
      </c>
      <c r="BB123" s="904">
        <f t="shared" si="226"/>
        <v>0</v>
      </c>
      <c r="BC123" s="884"/>
      <c r="BD123" s="899"/>
      <c r="BE123" s="899">
        <f t="shared" si="227"/>
        <v>0</v>
      </c>
      <c r="BF123" s="899">
        <f t="shared" si="227"/>
        <v>0</v>
      </c>
      <c r="BG123" s="891">
        <f t="shared" si="221"/>
        <v>0</v>
      </c>
      <c r="BH123" s="904">
        <f t="shared" si="222"/>
        <v>0</v>
      </c>
      <c r="BI123" s="906">
        <f t="shared" si="223"/>
        <v>0</v>
      </c>
      <c r="BJ123" s="905"/>
      <c r="BK123" s="874"/>
      <c r="BL123" s="884"/>
      <c r="BM123" s="899"/>
      <c r="BN123" s="899">
        <f t="shared" si="228"/>
        <v>0</v>
      </c>
      <c r="BO123" s="899">
        <f t="shared" si="228"/>
        <v>0</v>
      </c>
      <c r="BP123" s="884"/>
      <c r="BQ123" s="899"/>
      <c r="BR123" s="904">
        <f t="shared" si="229"/>
        <v>0</v>
      </c>
      <c r="BS123" s="906">
        <f t="shared" si="229"/>
        <v>0</v>
      </c>
      <c r="BT123" s="874"/>
      <c r="BU123" s="884"/>
      <c r="BV123" s="899"/>
      <c r="BW123" s="899">
        <f t="shared" si="230"/>
        <v>0</v>
      </c>
      <c r="BX123" s="899">
        <f t="shared" si="230"/>
        <v>0</v>
      </c>
      <c r="BY123" s="891"/>
      <c r="BZ123" s="904"/>
      <c r="CA123" s="904">
        <f t="shared" si="231"/>
        <v>0</v>
      </c>
      <c r="CB123" s="906">
        <f t="shared" si="231"/>
        <v>0</v>
      </c>
      <c r="CC123" s="874"/>
      <c r="CD123" s="874"/>
      <c r="CE123" s="874"/>
      <c r="CF123" s="874"/>
      <c r="CG123" s="874"/>
      <c r="CH123" s="874"/>
      <c r="CI123" s="874"/>
      <c r="CJ123" s="874"/>
      <c r="CK123" s="874"/>
      <c r="CL123" s="874"/>
      <c r="CM123" s="874"/>
      <c r="CN123" s="874"/>
      <c r="CO123" s="874"/>
      <c r="CP123" s="874"/>
      <c r="CQ123" s="874"/>
      <c r="CR123" s="874"/>
      <c r="CS123" s="874"/>
      <c r="CT123" s="874"/>
      <c r="CU123" s="874"/>
      <c r="CV123" s="874"/>
      <c r="CW123" s="874"/>
      <c r="CX123" s="874"/>
      <c r="CY123" s="874"/>
      <c r="CZ123" s="874"/>
      <c r="DA123" s="874"/>
      <c r="DB123" s="874"/>
      <c r="DC123" s="874"/>
      <c r="DD123" s="874"/>
      <c r="DE123" s="874"/>
      <c r="DF123" s="874"/>
      <c r="DG123" s="874"/>
      <c r="DH123" s="874"/>
      <c r="DI123" s="874"/>
      <c r="DJ123" s="874"/>
      <c r="DK123" s="874"/>
      <c r="DL123" s="874"/>
      <c r="DM123" s="874"/>
      <c r="DN123" s="874"/>
      <c r="DO123" s="874"/>
      <c r="DP123" s="874"/>
      <c r="DQ123" s="874"/>
      <c r="DR123" s="874"/>
      <c r="DS123" s="874"/>
      <c r="DT123" s="874"/>
      <c r="DU123" s="874"/>
      <c r="DV123" s="874"/>
      <c r="DW123" s="874"/>
      <c r="DX123" s="874"/>
      <c r="DY123" s="874"/>
      <c r="DZ123" s="874"/>
      <c r="EA123" s="874"/>
    </row>
    <row r="124" spans="1:131" ht="20.25" hidden="1">
      <c r="A124" s="896" t="s">
        <v>704</v>
      </c>
      <c r="B124" s="884"/>
      <c r="C124" s="899"/>
      <c r="D124" s="917">
        <v>0</v>
      </c>
      <c r="E124" s="917">
        <v>0</v>
      </c>
      <c r="F124" s="886">
        <f t="shared" si="216"/>
        <v>0</v>
      </c>
      <c r="G124" s="884"/>
      <c r="H124" s="899"/>
      <c r="I124" s="917">
        <v>0</v>
      </c>
      <c r="J124" s="917">
        <v>0</v>
      </c>
      <c r="K124" s="886">
        <f t="shared" si="217"/>
        <v>0</v>
      </c>
      <c r="L124" s="884"/>
      <c r="M124" s="899"/>
      <c r="N124" s="917">
        <v>0</v>
      </c>
      <c r="O124" s="917">
        <v>0</v>
      </c>
      <c r="P124" s="887">
        <f t="shared" si="218"/>
        <v>0</v>
      </c>
      <c r="Q124" s="884"/>
      <c r="R124" s="918"/>
      <c r="S124" s="919"/>
      <c r="T124" s="884"/>
      <c r="U124" s="918"/>
      <c r="V124" s="919"/>
      <c r="W124" s="884"/>
      <c r="X124" s="899"/>
      <c r="Y124" s="899">
        <f t="shared" si="224"/>
        <v>0</v>
      </c>
      <c r="Z124" s="899">
        <f t="shared" si="224"/>
        <v>0</v>
      </c>
      <c r="AA124" s="886">
        <f t="shared" si="219"/>
        <v>0</v>
      </c>
      <c r="AB124" s="884"/>
      <c r="AC124" s="899"/>
      <c r="AD124" s="918"/>
      <c r="AE124" s="918"/>
      <c r="AF124" s="886">
        <f t="shared" si="220"/>
        <v>0</v>
      </c>
      <c r="AG124" s="884"/>
      <c r="AH124" s="918"/>
      <c r="AI124" s="919"/>
      <c r="AJ124" s="884"/>
      <c r="AK124" s="918"/>
      <c r="AL124" s="919"/>
      <c r="AM124" s="884"/>
      <c r="AN124" s="918"/>
      <c r="AO124" s="919"/>
      <c r="AP124" s="884"/>
      <c r="AQ124" s="918"/>
      <c r="AR124" s="919"/>
      <c r="AS124" s="903"/>
      <c r="AT124" s="874"/>
      <c r="AU124" s="884"/>
      <c r="AV124" s="899"/>
      <c r="AW124" s="899">
        <f t="shared" si="225"/>
        <v>0</v>
      </c>
      <c r="AX124" s="899">
        <f t="shared" si="225"/>
        <v>0</v>
      </c>
      <c r="AY124" s="891"/>
      <c r="AZ124" s="904"/>
      <c r="BA124" s="904">
        <f t="shared" si="226"/>
        <v>0</v>
      </c>
      <c r="BB124" s="904">
        <f t="shared" si="226"/>
        <v>0</v>
      </c>
      <c r="BC124" s="884"/>
      <c r="BD124" s="899"/>
      <c r="BE124" s="899">
        <f t="shared" si="227"/>
        <v>0</v>
      </c>
      <c r="BF124" s="899">
        <f t="shared" si="227"/>
        <v>0</v>
      </c>
      <c r="BG124" s="891">
        <f t="shared" si="221"/>
        <v>0</v>
      </c>
      <c r="BH124" s="904">
        <f t="shared" si="222"/>
        <v>0</v>
      </c>
      <c r="BI124" s="906">
        <f t="shared" si="223"/>
        <v>0</v>
      </c>
      <c r="BJ124" s="905"/>
      <c r="BK124" s="874"/>
      <c r="BL124" s="884"/>
      <c r="BM124" s="899"/>
      <c r="BN124" s="899">
        <f t="shared" si="228"/>
        <v>0</v>
      </c>
      <c r="BO124" s="899">
        <f t="shared" si="228"/>
        <v>0</v>
      </c>
      <c r="BP124" s="884"/>
      <c r="BQ124" s="899"/>
      <c r="BR124" s="904">
        <f t="shared" si="229"/>
        <v>0</v>
      </c>
      <c r="BS124" s="906">
        <f t="shared" si="229"/>
        <v>0</v>
      </c>
      <c r="BT124" s="874"/>
      <c r="BU124" s="884"/>
      <c r="BV124" s="899"/>
      <c r="BW124" s="899">
        <f t="shared" si="230"/>
        <v>0</v>
      </c>
      <c r="BX124" s="899">
        <f t="shared" si="230"/>
        <v>0</v>
      </c>
      <c r="BY124" s="891"/>
      <c r="BZ124" s="904"/>
      <c r="CA124" s="904">
        <f t="shared" si="231"/>
        <v>0</v>
      </c>
      <c r="CB124" s="906">
        <f t="shared" si="231"/>
        <v>0</v>
      </c>
      <c r="CC124" s="874"/>
      <c r="CD124" s="874"/>
      <c r="CE124" s="874"/>
      <c r="CF124" s="874"/>
      <c r="CG124" s="874"/>
      <c r="CH124" s="874"/>
      <c r="CI124" s="874"/>
      <c r="CJ124" s="874"/>
      <c r="CK124" s="874"/>
      <c r="CL124" s="874"/>
      <c r="CM124" s="874"/>
      <c r="CN124" s="874"/>
      <c r="CO124" s="874"/>
      <c r="CP124" s="874"/>
      <c r="CQ124" s="874"/>
      <c r="CR124" s="874"/>
      <c r="CS124" s="874"/>
      <c r="CT124" s="874"/>
      <c r="CU124" s="874"/>
      <c r="CV124" s="874"/>
      <c r="CW124" s="874"/>
      <c r="CX124" s="874"/>
      <c r="CY124" s="874"/>
      <c r="CZ124" s="874"/>
      <c r="DA124" s="874"/>
      <c r="DB124" s="874"/>
      <c r="DC124" s="874"/>
      <c r="DD124" s="874"/>
      <c r="DE124" s="874"/>
      <c r="DF124" s="874"/>
      <c r="DG124" s="874"/>
      <c r="DH124" s="874"/>
      <c r="DI124" s="874"/>
      <c r="DJ124" s="874"/>
      <c r="DK124" s="874"/>
      <c r="DL124" s="874"/>
      <c r="DM124" s="874"/>
      <c r="DN124" s="874"/>
      <c r="DO124" s="874"/>
      <c r="DP124" s="874"/>
      <c r="DQ124" s="874"/>
      <c r="DR124" s="874"/>
      <c r="DS124" s="874"/>
      <c r="DT124" s="874"/>
      <c r="DU124" s="874"/>
      <c r="DV124" s="874"/>
      <c r="DW124" s="874"/>
      <c r="DX124" s="874"/>
      <c r="DY124" s="874"/>
      <c r="DZ124" s="874"/>
      <c r="EA124" s="874"/>
    </row>
    <row r="125" spans="1:131" ht="20.25" hidden="1">
      <c r="A125" s="897" t="s">
        <v>705</v>
      </c>
      <c r="B125" s="884"/>
      <c r="C125" s="899"/>
      <c r="D125" s="917">
        <v>0</v>
      </c>
      <c r="E125" s="917">
        <v>0</v>
      </c>
      <c r="F125" s="886">
        <f t="shared" si="216"/>
        <v>0</v>
      </c>
      <c r="G125" s="884"/>
      <c r="H125" s="899"/>
      <c r="I125" s="917">
        <v>0</v>
      </c>
      <c r="J125" s="917">
        <v>0</v>
      </c>
      <c r="K125" s="886">
        <f t="shared" si="217"/>
        <v>0</v>
      </c>
      <c r="L125" s="884"/>
      <c r="M125" s="899"/>
      <c r="N125" s="917">
        <v>0</v>
      </c>
      <c r="O125" s="917">
        <v>0</v>
      </c>
      <c r="P125" s="887">
        <f t="shared" si="218"/>
        <v>0</v>
      </c>
      <c r="Q125" s="884"/>
      <c r="R125" s="918"/>
      <c r="S125" s="919"/>
      <c r="T125" s="884"/>
      <c r="U125" s="918"/>
      <c r="V125" s="919"/>
      <c r="W125" s="884"/>
      <c r="X125" s="899"/>
      <c r="Y125" s="899">
        <f t="shared" si="224"/>
        <v>0</v>
      </c>
      <c r="Z125" s="899">
        <f t="shared" si="224"/>
        <v>0</v>
      </c>
      <c r="AA125" s="886">
        <f t="shared" si="219"/>
        <v>0</v>
      </c>
      <c r="AB125" s="884"/>
      <c r="AC125" s="899"/>
      <c r="AD125" s="918"/>
      <c r="AE125" s="918"/>
      <c r="AF125" s="886">
        <f t="shared" si="220"/>
        <v>0</v>
      </c>
      <c r="AG125" s="884"/>
      <c r="AH125" s="918"/>
      <c r="AI125" s="919"/>
      <c r="AJ125" s="884"/>
      <c r="AK125" s="918"/>
      <c r="AL125" s="919"/>
      <c r="AM125" s="884"/>
      <c r="AN125" s="918"/>
      <c r="AO125" s="919"/>
      <c r="AP125" s="884"/>
      <c r="AQ125" s="918"/>
      <c r="AR125" s="919"/>
      <c r="AS125" s="903"/>
      <c r="AT125" s="874"/>
      <c r="AU125" s="884"/>
      <c r="AV125" s="899"/>
      <c r="AW125" s="899">
        <f t="shared" si="225"/>
        <v>0</v>
      </c>
      <c r="AX125" s="899">
        <f t="shared" si="225"/>
        <v>0</v>
      </c>
      <c r="AY125" s="891"/>
      <c r="AZ125" s="904"/>
      <c r="BA125" s="904">
        <f t="shared" si="226"/>
        <v>0</v>
      </c>
      <c r="BB125" s="904">
        <f t="shared" si="226"/>
        <v>0</v>
      </c>
      <c r="BC125" s="884"/>
      <c r="BD125" s="899"/>
      <c r="BE125" s="899">
        <f t="shared" si="227"/>
        <v>0</v>
      </c>
      <c r="BF125" s="899">
        <f t="shared" si="227"/>
        <v>0</v>
      </c>
      <c r="BG125" s="891">
        <f t="shared" si="221"/>
        <v>0</v>
      </c>
      <c r="BH125" s="904">
        <f t="shared" si="222"/>
        <v>0</v>
      </c>
      <c r="BI125" s="906">
        <f t="shared" si="223"/>
        <v>0</v>
      </c>
      <c r="BJ125" s="905"/>
      <c r="BK125" s="874"/>
      <c r="BL125" s="884"/>
      <c r="BM125" s="899"/>
      <c r="BN125" s="899">
        <f t="shared" si="228"/>
        <v>0</v>
      </c>
      <c r="BO125" s="899">
        <f t="shared" si="228"/>
        <v>0</v>
      </c>
      <c r="BP125" s="884"/>
      <c r="BQ125" s="899"/>
      <c r="BR125" s="904">
        <f t="shared" si="229"/>
        <v>0</v>
      </c>
      <c r="BS125" s="906">
        <f t="shared" si="229"/>
        <v>0</v>
      </c>
      <c r="BT125" s="874"/>
      <c r="BU125" s="884"/>
      <c r="BV125" s="899"/>
      <c r="BW125" s="899">
        <f t="shared" si="230"/>
        <v>0</v>
      </c>
      <c r="BX125" s="899">
        <f t="shared" si="230"/>
        <v>0</v>
      </c>
      <c r="BY125" s="891"/>
      <c r="BZ125" s="904"/>
      <c r="CA125" s="904">
        <f t="shared" si="231"/>
        <v>0</v>
      </c>
      <c r="CB125" s="906">
        <f t="shared" si="231"/>
        <v>0</v>
      </c>
      <c r="CC125" s="874"/>
      <c r="CD125" s="874"/>
      <c r="CE125" s="874"/>
      <c r="CF125" s="874"/>
      <c r="CG125" s="874"/>
      <c r="CH125" s="874"/>
      <c r="CI125" s="874"/>
      <c r="CJ125" s="874"/>
      <c r="CK125" s="874"/>
      <c r="CL125" s="874"/>
      <c r="CM125" s="874"/>
      <c r="CN125" s="874"/>
      <c r="CO125" s="874"/>
      <c r="CP125" s="874"/>
      <c r="CQ125" s="874"/>
      <c r="CR125" s="874"/>
      <c r="CS125" s="874"/>
      <c r="CT125" s="874"/>
      <c r="CU125" s="874"/>
      <c r="CV125" s="874"/>
      <c r="CW125" s="874"/>
      <c r="CX125" s="874"/>
      <c r="CY125" s="874"/>
      <c r="CZ125" s="874"/>
      <c r="DA125" s="874"/>
      <c r="DB125" s="874"/>
      <c r="DC125" s="874"/>
      <c r="DD125" s="874"/>
      <c r="DE125" s="874"/>
      <c r="DF125" s="874"/>
      <c r="DG125" s="874"/>
      <c r="DH125" s="874"/>
      <c r="DI125" s="874"/>
      <c r="DJ125" s="874"/>
      <c r="DK125" s="874"/>
      <c r="DL125" s="874"/>
      <c r="DM125" s="874"/>
      <c r="DN125" s="874"/>
      <c r="DO125" s="874"/>
      <c r="DP125" s="874"/>
      <c r="DQ125" s="874"/>
      <c r="DR125" s="874"/>
      <c r="DS125" s="874"/>
      <c r="DT125" s="874"/>
      <c r="DU125" s="874"/>
      <c r="DV125" s="874"/>
      <c r="DW125" s="874"/>
      <c r="DX125" s="874"/>
      <c r="DY125" s="874"/>
      <c r="DZ125" s="874"/>
      <c r="EA125" s="874"/>
    </row>
    <row r="126" spans="1:131" ht="20.25" hidden="1">
      <c r="A126" s="896" t="s">
        <v>706</v>
      </c>
      <c r="B126" s="884"/>
      <c r="C126" s="917">
        <v>0</v>
      </c>
      <c r="D126" s="899"/>
      <c r="E126" s="899"/>
      <c r="F126" s="902"/>
      <c r="G126" s="884"/>
      <c r="H126" s="917">
        <v>0</v>
      </c>
      <c r="I126" s="899"/>
      <c r="J126" s="899"/>
      <c r="K126" s="902"/>
      <c r="L126" s="884"/>
      <c r="M126" s="917">
        <v>0</v>
      </c>
      <c r="N126" s="899"/>
      <c r="O126" s="899"/>
      <c r="P126" s="907"/>
      <c r="Q126" s="920"/>
      <c r="R126" s="899"/>
      <c r="S126" s="902"/>
      <c r="T126" s="920"/>
      <c r="U126" s="899"/>
      <c r="V126" s="902"/>
      <c r="W126" s="884"/>
      <c r="X126" s="899">
        <f>M126+Q126-T126</f>
        <v>0</v>
      </c>
      <c r="Y126" s="899"/>
      <c r="Z126" s="899"/>
      <c r="AA126" s="902"/>
      <c r="AB126" s="884"/>
      <c r="AC126" s="918"/>
      <c r="AD126" s="899"/>
      <c r="AE126" s="899"/>
      <c r="AF126" s="902"/>
      <c r="AG126" s="920"/>
      <c r="AH126" s="899"/>
      <c r="AI126" s="902"/>
      <c r="AJ126" s="920"/>
      <c r="AK126" s="899"/>
      <c r="AL126" s="902"/>
      <c r="AM126" s="920"/>
      <c r="AN126" s="899"/>
      <c r="AO126" s="902"/>
      <c r="AP126" s="920"/>
      <c r="AQ126" s="899"/>
      <c r="AR126" s="902"/>
      <c r="AS126" s="903"/>
      <c r="AT126" s="874"/>
      <c r="AU126" s="884"/>
      <c r="AV126" s="899">
        <f>AC126-M126</f>
        <v>0</v>
      </c>
      <c r="AW126" s="899"/>
      <c r="AX126" s="899"/>
      <c r="AY126" s="891"/>
      <c r="AZ126" s="904">
        <f>IF(M126=0,0,AC126/M126*100)</f>
        <v>0</v>
      </c>
      <c r="BA126" s="904"/>
      <c r="BB126" s="904"/>
      <c r="BC126" s="884"/>
      <c r="BD126" s="899">
        <f>AC126-M126-AG126-AJ126-AM126-AP126</f>
        <v>0</v>
      </c>
      <c r="BE126" s="899"/>
      <c r="BF126" s="899"/>
      <c r="BG126" s="884"/>
      <c r="BH126" s="899"/>
      <c r="BI126" s="902"/>
      <c r="BJ126" s="905"/>
      <c r="BK126" s="874"/>
      <c r="BL126" s="884"/>
      <c r="BM126" s="899">
        <f>AC126-X126</f>
        <v>0</v>
      </c>
      <c r="BN126" s="899"/>
      <c r="BO126" s="899"/>
      <c r="BP126" s="884"/>
      <c r="BQ126" s="904">
        <f>IF(X126=0,0,AC126/X126*100)</f>
        <v>0</v>
      </c>
      <c r="BR126" s="899"/>
      <c r="BS126" s="902"/>
      <c r="BT126" s="874"/>
      <c r="BU126" s="884"/>
      <c r="BV126" s="899">
        <f>AC126-C126</f>
        <v>0</v>
      </c>
      <c r="BW126" s="899"/>
      <c r="BX126" s="899"/>
      <c r="BY126" s="891"/>
      <c r="BZ126" s="904">
        <f>IF(C126=0,0,AC126/C126*100)</f>
        <v>0</v>
      </c>
      <c r="CA126" s="904"/>
      <c r="CB126" s="906"/>
      <c r="CC126" s="874"/>
      <c r="CD126" s="874"/>
      <c r="CE126" s="874"/>
      <c r="CF126" s="874"/>
      <c r="CG126" s="874"/>
      <c r="CH126" s="874"/>
      <c r="CI126" s="874"/>
      <c r="CJ126" s="874"/>
      <c r="CK126" s="874"/>
      <c r="CL126" s="874"/>
      <c r="CM126" s="874"/>
      <c r="CN126" s="874"/>
      <c r="CO126" s="874"/>
      <c r="CP126" s="874"/>
      <c r="CQ126" s="874"/>
      <c r="CR126" s="874"/>
      <c r="CS126" s="874"/>
      <c r="CT126" s="874"/>
      <c r="CU126" s="874"/>
      <c r="CV126" s="874"/>
      <c r="CW126" s="874"/>
      <c r="CX126" s="874"/>
      <c r="CY126" s="874"/>
      <c r="CZ126" s="874"/>
      <c r="DA126" s="874"/>
      <c r="DB126" s="874"/>
      <c r="DC126" s="874"/>
      <c r="DD126" s="874"/>
      <c r="DE126" s="874"/>
      <c r="DF126" s="874"/>
      <c r="DG126" s="874"/>
      <c r="DH126" s="874"/>
      <c r="DI126" s="874"/>
      <c r="DJ126" s="874"/>
      <c r="DK126" s="874"/>
      <c r="DL126" s="874"/>
      <c r="DM126" s="874"/>
      <c r="DN126" s="874"/>
      <c r="DO126" s="874"/>
      <c r="DP126" s="874"/>
      <c r="DQ126" s="874"/>
      <c r="DR126" s="874"/>
      <c r="DS126" s="874"/>
      <c r="DT126" s="874"/>
      <c r="DU126" s="874"/>
      <c r="DV126" s="874"/>
      <c r="DW126" s="874"/>
      <c r="DX126" s="874"/>
      <c r="DY126" s="874"/>
      <c r="DZ126" s="874"/>
      <c r="EA126" s="874"/>
    </row>
    <row r="127" spans="1:131" ht="19.5" customHeight="1" outlineLevel="1">
      <c r="A127" s="916" t="s">
        <v>715</v>
      </c>
      <c r="B127" s="884">
        <f>C127+D127</f>
        <v>3874191685</v>
      </c>
      <c r="C127" s="917">
        <v>61082836</v>
      </c>
      <c r="D127" s="899">
        <f>SUM(D128:D129,D132:D133)</f>
        <v>3813108849</v>
      </c>
      <c r="E127" s="899">
        <f>SUM(E128:E129,E132:E133)</f>
        <v>9572</v>
      </c>
      <c r="F127" s="886">
        <f t="shared" ref="F127:F133" si="232">IF(E127=0,0,ROUND(D127/E127/12,0))</f>
        <v>33197</v>
      </c>
      <c r="G127" s="884">
        <f>H127+I127</f>
        <v>4041367897</v>
      </c>
      <c r="H127" s="917">
        <v>59596335</v>
      </c>
      <c r="I127" s="899">
        <f>SUM(I128:I129,I132:I133)</f>
        <v>3981771562</v>
      </c>
      <c r="J127" s="899">
        <f>SUM(J128:J129,J132:J133)</f>
        <v>9866</v>
      </c>
      <c r="K127" s="886">
        <f t="shared" ref="K127:K133" si="233">IF(J127=0,0,ROUND(I127/J127/12,0))</f>
        <v>33632</v>
      </c>
      <c r="L127" s="884">
        <f>M127+N127</f>
        <v>4097946694</v>
      </c>
      <c r="M127" s="917">
        <v>60488335</v>
      </c>
      <c r="N127" s="899">
        <f>SUM(N128:N129,N132:N133)</f>
        <v>4037458359</v>
      </c>
      <c r="O127" s="899">
        <f>SUM(O128:O129,O132:O133)</f>
        <v>9921</v>
      </c>
      <c r="P127" s="887">
        <f t="shared" ref="P127:P133" si="234">IF(O127=0,0,ROUND(N127/O127/12,0))</f>
        <v>33913</v>
      </c>
      <c r="Q127" s="920">
        <f>[6]LRZ!$J$21+2054343</f>
        <v>2321773</v>
      </c>
      <c r="R127" s="899">
        <f>SUM(R128:R129,R132:R133)</f>
        <v>48373169.07</v>
      </c>
      <c r="S127" s="902">
        <f>SUM(S128:S129,S132:S133)</f>
        <v>0</v>
      </c>
      <c r="T127" s="920"/>
      <c r="U127" s="899">
        <f>SUM(U128:U129,U132:U133)</f>
        <v>0</v>
      </c>
      <c r="V127" s="902">
        <f>SUM(V128:V129,V132:V133)</f>
        <v>0</v>
      </c>
      <c r="W127" s="884">
        <f>X127+Y127</f>
        <v>4148641636.0699997</v>
      </c>
      <c r="X127" s="899">
        <f>M127+Q127-T127</f>
        <v>62810108</v>
      </c>
      <c r="Y127" s="899">
        <f>SUM(Y128:Y129,Y132:Y133)</f>
        <v>4085831528.0699997</v>
      </c>
      <c r="Z127" s="899">
        <f>SUM(Z128:Z129,Z132:Z133)</f>
        <v>9921</v>
      </c>
      <c r="AA127" s="886">
        <f t="shared" ref="AA127:AA133" si="235">IF(Z127=0,0,ROUND(Y127/Z127/12,0))</f>
        <v>34320</v>
      </c>
      <c r="AB127" s="884">
        <f>AC127+AD127</f>
        <v>4136171639.8600001</v>
      </c>
      <c r="AC127" s="918">
        <f>[7]LRZ!$F$21</f>
        <v>62448091</v>
      </c>
      <c r="AD127" s="899">
        <f>SUM(AD128:AD129,AD132:AD133)</f>
        <v>4073723548.8600001</v>
      </c>
      <c r="AE127" s="899">
        <f>SUM(AE128:AE129,AE132:AE133)</f>
        <v>9680</v>
      </c>
      <c r="AF127" s="886">
        <f t="shared" ref="AF127:AF133" si="236">IF(AE127=0,0,ROUND(AD127/AE127/12,0))</f>
        <v>35070</v>
      </c>
      <c r="AG127" s="920">
        <v>267430</v>
      </c>
      <c r="AH127" s="899">
        <f>SUM(AH128:AH129,AH132:AH133)</f>
        <v>33178788.07</v>
      </c>
      <c r="AI127" s="902">
        <f>SUM(AI128:AI129,AI132:AI133)</f>
        <v>0</v>
      </c>
      <c r="AJ127" s="920">
        <v>0</v>
      </c>
      <c r="AK127" s="899">
        <f>SUM(AK128:AK129,AK132:AK133)</f>
        <v>0</v>
      </c>
      <c r="AL127" s="902">
        <f>SUM(AL128:AL129,AL132:AL133)</f>
        <v>0</v>
      </c>
      <c r="AM127" s="920">
        <v>2054343</v>
      </c>
      <c r="AN127" s="899">
        <f>SUM(AN128:AN129,AN132:AN133)</f>
        <v>15194380.100000001</v>
      </c>
      <c r="AO127" s="902">
        <f>SUM(AO128:AO129,AO132:AO133)</f>
        <v>0</v>
      </c>
      <c r="AP127" s="920"/>
      <c r="AQ127" s="899">
        <f>SUM(AQ128:AQ129,AQ132:AQ133)</f>
        <v>0</v>
      </c>
      <c r="AR127" s="902">
        <f>SUM(AR128:AR129,AR132:AR133)</f>
        <v>0</v>
      </c>
      <c r="AS127" s="903"/>
      <c r="AT127" s="874"/>
      <c r="AU127" s="884">
        <f>AV127+AW127</f>
        <v>38224945.860000104</v>
      </c>
      <c r="AV127" s="899">
        <f>AC127-M127</f>
        <v>1959756</v>
      </c>
      <c r="AW127" s="899">
        <f>SUM(AW128:AW129,AW132:AW133)</f>
        <v>36265189.860000104</v>
      </c>
      <c r="AX127" s="899">
        <f>SUM(AX128:AX129,AX132:AX133)</f>
        <v>-241</v>
      </c>
      <c r="AY127" s="891">
        <f>IF(L127=0,0,AB127/L127*100)</f>
        <v>100.93278289627258</v>
      </c>
      <c r="AZ127" s="904">
        <f>IF(M127=0,0,AC127/M127*100)</f>
        <v>103.23989079877964</v>
      </c>
      <c r="BA127" s="904">
        <f t="shared" ref="BA127:BB133" si="237">IF(N127=0,0,AD127/N127*100)</f>
        <v>100.89821830060886</v>
      </c>
      <c r="BB127" s="904">
        <f t="shared" si="237"/>
        <v>97.570809394214294</v>
      </c>
      <c r="BC127" s="884">
        <f>BD127+BE127</f>
        <v>-12469995.309999898</v>
      </c>
      <c r="BD127" s="899">
        <f>AC127-M127-AG127-AJ127-AM127-AP127</f>
        <v>-362017</v>
      </c>
      <c r="BE127" s="899">
        <f>SUM(BE128:BE129,BE132:BE133)</f>
        <v>-12107978.309999898</v>
      </c>
      <c r="BF127" s="899">
        <f>SUM(BF128:BF129,BF132:BF133)</f>
        <v>-241</v>
      </c>
      <c r="BG127" s="891">
        <f t="shared" ref="BG127:BG133" si="238">IF(F127=0,0,AF127/F127*100)</f>
        <v>105.64207609121306</v>
      </c>
      <c r="BH127" s="904">
        <f t="shared" ref="BH127:BH133" si="239">IF(K127=0,0,AF127/K127*100)</f>
        <v>104.27568981921979</v>
      </c>
      <c r="BI127" s="906">
        <f t="shared" ref="BI127:BI133" si="240">IF(P127=0,0,AF127/P127*100)</f>
        <v>103.41167104060389</v>
      </c>
      <c r="BJ127" s="905"/>
      <c r="BK127" s="874"/>
      <c r="BL127" s="884">
        <f>BM127+BN127</f>
        <v>-12469996.209999681</v>
      </c>
      <c r="BM127" s="899">
        <f>AC127-X127</f>
        <v>-362017</v>
      </c>
      <c r="BN127" s="899">
        <f>SUM(BN128:BN129,BN132:BN133)</f>
        <v>-12107979.209999681</v>
      </c>
      <c r="BO127" s="899">
        <f>SUM(BO128:BO129,BO132:BO133)</f>
        <v>-241</v>
      </c>
      <c r="BP127" s="891">
        <f>IF(W127=0,0,AB127/W127*100)</f>
        <v>99.699419778715509</v>
      </c>
      <c r="BQ127" s="904">
        <f>IF(X127=0,0,AC127/X127*100)</f>
        <v>99.423632578374168</v>
      </c>
      <c r="BR127" s="904">
        <f t="shared" ref="BR127:BS133" si="241">IF(Y127=0,0,AD127/Y127*100)</f>
        <v>99.703659362193065</v>
      </c>
      <c r="BS127" s="906">
        <f t="shared" si="241"/>
        <v>97.570809394214294</v>
      </c>
      <c r="BT127" s="874"/>
      <c r="BU127" s="884">
        <f>BV127+BW127</f>
        <v>261979954.8600001</v>
      </c>
      <c r="BV127" s="899">
        <f>AC127-C127</f>
        <v>1365255</v>
      </c>
      <c r="BW127" s="899">
        <f>SUM(BW128:BW129,BW132:BW133)</f>
        <v>260614699.8600001</v>
      </c>
      <c r="BX127" s="899">
        <f>SUM(BX128:BX129,BX132:BX133)</f>
        <v>108</v>
      </c>
      <c r="BY127" s="891">
        <f>IF(B127=0,0,AB127/B127*100)</f>
        <v>106.7621836026939</v>
      </c>
      <c r="BZ127" s="904">
        <f>IF(C127=0,0,AC127/C127*100)</f>
        <v>102.23508777490291</v>
      </c>
      <c r="CA127" s="904">
        <f t="shared" ref="CA127:CB133" si="242">IF(D127=0,0,AD127/D127*100)</f>
        <v>106.83470391694554</v>
      </c>
      <c r="CB127" s="906">
        <f t="shared" si="242"/>
        <v>101.12829084830757</v>
      </c>
      <c r="CC127" s="874"/>
      <c r="CD127" s="874"/>
      <c r="CE127" s="874"/>
      <c r="CF127" s="874"/>
      <c r="CG127" s="874"/>
      <c r="CH127" s="874"/>
      <c r="CI127" s="874"/>
      <c r="CJ127" s="874"/>
      <c r="CK127" s="874"/>
      <c r="CL127" s="874"/>
      <c r="CM127" s="874"/>
      <c r="CN127" s="874"/>
      <c r="CO127" s="874"/>
      <c r="CP127" s="874"/>
      <c r="CQ127" s="874"/>
      <c r="CR127" s="874"/>
      <c r="CS127" s="874"/>
      <c r="CT127" s="874"/>
      <c r="CU127" s="874"/>
      <c r="CV127" s="874"/>
      <c r="CW127" s="874"/>
      <c r="CX127" s="874"/>
      <c r="CY127" s="874"/>
      <c r="CZ127" s="874"/>
      <c r="DA127" s="874"/>
      <c r="DB127" s="874"/>
      <c r="DC127" s="874"/>
      <c r="DD127" s="874"/>
      <c r="DE127" s="874"/>
      <c r="DF127" s="874"/>
      <c r="DG127" s="874"/>
      <c r="DH127" s="874"/>
      <c r="DI127" s="874"/>
      <c r="DJ127" s="874"/>
      <c r="DK127" s="874"/>
      <c r="DL127" s="874"/>
      <c r="DM127" s="874"/>
      <c r="DN127" s="874"/>
      <c r="DO127" s="874"/>
      <c r="DP127" s="874"/>
      <c r="DQ127" s="874"/>
      <c r="DR127" s="874"/>
      <c r="DS127" s="874"/>
      <c r="DT127" s="874"/>
      <c r="DU127" s="874"/>
      <c r="DV127" s="874"/>
      <c r="DW127" s="874"/>
      <c r="DX127" s="874"/>
      <c r="DY127" s="874"/>
      <c r="DZ127" s="874"/>
      <c r="EA127" s="874"/>
    </row>
    <row r="128" spans="1:131" ht="20.25" outlineLevel="1">
      <c r="A128" s="883" t="s">
        <v>700</v>
      </c>
      <c r="B128" s="884"/>
      <c r="C128" s="899"/>
      <c r="D128" s="917">
        <v>178421650</v>
      </c>
      <c r="E128" s="917">
        <v>594</v>
      </c>
      <c r="F128" s="886">
        <f t="shared" si="232"/>
        <v>25031</v>
      </c>
      <c r="G128" s="884"/>
      <c r="H128" s="899"/>
      <c r="I128" s="917">
        <v>189690450</v>
      </c>
      <c r="J128" s="917">
        <v>625</v>
      </c>
      <c r="K128" s="886">
        <f t="shared" si="233"/>
        <v>25292</v>
      </c>
      <c r="L128" s="884"/>
      <c r="M128" s="899"/>
      <c r="N128" s="917">
        <v>192183902</v>
      </c>
      <c r="O128" s="917">
        <v>625</v>
      </c>
      <c r="P128" s="887">
        <f t="shared" si="234"/>
        <v>25625</v>
      </c>
      <c r="Q128" s="884"/>
      <c r="R128" s="918">
        <f>[6]LRZ!$I$22+2565.71</f>
        <v>8140525.0800000001</v>
      </c>
      <c r="S128" s="919"/>
      <c r="T128" s="884"/>
      <c r="U128" s="918"/>
      <c r="V128" s="919"/>
      <c r="W128" s="884"/>
      <c r="X128" s="899"/>
      <c r="Y128" s="899">
        <f t="shared" ref="Y128:Z133" si="243">N128+R128-U128</f>
        <v>200324427.08000001</v>
      </c>
      <c r="Z128" s="899">
        <f t="shared" si="243"/>
        <v>625</v>
      </c>
      <c r="AA128" s="886">
        <f t="shared" si="235"/>
        <v>26710</v>
      </c>
      <c r="AB128" s="884"/>
      <c r="AC128" s="899"/>
      <c r="AD128" s="918">
        <f>[7]LRZ!$E$22</f>
        <v>200324303.46000001</v>
      </c>
      <c r="AE128" s="918">
        <f>'[7]HZS ČR'!$E$85</f>
        <v>607</v>
      </c>
      <c r="AF128" s="886">
        <f t="shared" si="236"/>
        <v>27502</v>
      </c>
      <c r="AG128" s="884"/>
      <c r="AH128" s="918">
        <v>8137958.4699999997</v>
      </c>
      <c r="AI128" s="919"/>
      <c r="AJ128" s="884"/>
      <c r="AK128" s="918"/>
      <c r="AL128" s="919"/>
      <c r="AM128" s="884"/>
      <c r="AN128" s="918">
        <v>2565.71</v>
      </c>
      <c r="AO128" s="919"/>
      <c r="AP128" s="884"/>
      <c r="AQ128" s="918"/>
      <c r="AR128" s="919"/>
      <c r="AS128" s="903"/>
      <c r="AT128" s="874"/>
      <c r="AU128" s="884"/>
      <c r="AV128" s="899"/>
      <c r="AW128" s="899">
        <f t="shared" ref="AW128:AX133" si="244">AD128-N128</f>
        <v>8140401.4600000083</v>
      </c>
      <c r="AX128" s="899">
        <f t="shared" si="244"/>
        <v>-18</v>
      </c>
      <c r="AY128" s="891"/>
      <c r="AZ128" s="904"/>
      <c r="BA128" s="904">
        <f t="shared" si="237"/>
        <v>104.23573534270317</v>
      </c>
      <c r="BB128" s="904">
        <f t="shared" si="237"/>
        <v>97.11999999999999</v>
      </c>
      <c r="BC128" s="884"/>
      <c r="BD128" s="899"/>
      <c r="BE128" s="899">
        <f t="shared" ref="BE128:BF133" si="245">AD128-N128-AH128-AK128-AN128-AQ128</f>
        <v>-122.71999999139462</v>
      </c>
      <c r="BF128" s="899">
        <f t="shared" si="245"/>
        <v>-18</v>
      </c>
      <c r="BG128" s="891">
        <f t="shared" si="238"/>
        <v>109.87175901881668</v>
      </c>
      <c r="BH128" s="904">
        <f t="shared" si="239"/>
        <v>108.73794085086192</v>
      </c>
      <c r="BI128" s="906">
        <f t="shared" si="240"/>
        <v>107.32487804878048</v>
      </c>
      <c r="BJ128" s="905"/>
      <c r="BK128" s="874"/>
      <c r="BL128" s="884"/>
      <c r="BM128" s="899"/>
      <c r="BN128" s="899">
        <f t="shared" ref="BN128:BO133" si="246">AD128-Y128</f>
        <v>-123.62000000476837</v>
      </c>
      <c r="BO128" s="899">
        <f t="shared" si="246"/>
        <v>-18</v>
      </c>
      <c r="BP128" s="884"/>
      <c r="BQ128" s="899"/>
      <c r="BR128" s="904">
        <f t="shared" si="241"/>
        <v>99.999938290101809</v>
      </c>
      <c r="BS128" s="906">
        <f t="shared" si="241"/>
        <v>97.11999999999999</v>
      </c>
      <c r="BT128" s="874"/>
      <c r="BU128" s="884"/>
      <c r="BV128" s="899"/>
      <c r="BW128" s="899">
        <f t="shared" ref="BW128:BX133" si="247">AD128-D128</f>
        <v>21902653.460000008</v>
      </c>
      <c r="BX128" s="899">
        <f t="shared" si="247"/>
        <v>13</v>
      </c>
      <c r="BY128" s="891"/>
      <c r="BZ128" s="904"/>
      <c r="CA128" s="904">
        <f t="shared" si="242"/>
        <v>112.27578237282303</v>
      </c>
      <c r="CB128" s="906">
        <f t="shared" si="242"/>
        <v>102.18855218855218</v>
      </c>
      <c r="CC128" s="874"/>
      <c r="CD128" s="874"/>
      <c r="CE128" s="874"/>
      <c r="CF128" s="874"/>
      <c r="CG128" s="874"/>
      <c r="CH128" s="874"/>
      <c r="CI128" s="874"/>
      <c r="CJ128" s="874"/>
      <c r="CK128" s="874"/>
      <c r="CL128" s="874"/>
      <c r="CM128" s="874"/>
      <c r="CN128" s="874"/>
      <c r="CO128" s="874"/>
      <c r="CP128" s="874"/>
      <c r="CQ128" s="874"/>
      <c r="CR128" s="874"/>
      <c r="CS128" s="874"/>
      <c r="CT128" s="874"/>
      <c r="CU128" s="874"/>
      <c r="CV128" s="874"/>
      <c r="CW128" s="874"/>
      <c r="CX128" s="874"/>
      <c r="CY128" s="874"/>
      <c r="CZ128" s="874"/>
      <c r="DA128" s="874"/>
      <c r="DB128" s="874"/>
      <c r="DC128" s="874"/>
      <c r="DD128" s="874"/>
      <c r="DE128" s="874"/>
      <c r="DF128" s="874"/>
      <c r="DG128" s="874"/>
      <c r="DH128" s="874"/>
      <c r="DI128" s="874"/>
      <c r="DJ128" s="874"/>
      <c r="DK128" s="874"/>
      <c r="DL128" s="874"/>
      <c r="DM128" s="874"/>
      <c r="DN128" s="874"/>
      <c r="DO128" s="874"/>
      <c r="DP128" s="874"/>
      <c r="DQ128" s="874"/>
      <c r="DR128" s="874"/>
      <c r="DS128" s="874"/>
      <c r="DT128" s="874"/>
      <c r="DU128" s="874"/>
      <c r="DV128" s="874"/>
      <c r="DW128" s="874"/>
      <c r="DX128" s="874"/>
      <c r="DY128" s="874"/>
      <c r="DZ128" s="874"/>
      <c r="EA128" s="874"/>
    </row>
    <row r="129" spans="1:131" ht="20.25" outlineLevel="1">
      <c r="A129" s="896" t="s">
        <v>701</v>
      </c>
      <c r="B129" s="884"/>
      <c r="C129" s="899"/>
      <c r="D129" s="899">
        <v>3634687199</v>
      </c>
      <c r="E129" s="899">
        <v>8978</v>
      </c>
      <c r="F129" s="886">
        <f t="shared" si="232"/>
        <v>33737</v>
      </c>
      <c r="G129" s="884"/>
      <c r="H129" s="899"/>
      <c r="I129" s="899">
        <v>3792081112</v>
      </c>
      <c r="J129" s="899">
        <v>9241</v>
      </c>
      <c r="K129" s="886">
        <f t="shared" si="233"/>
        <v>34196</v>
      </c>
      <c r="L129" s="884"/>
      <c r="M129" s="899"/>
      <c r="N129" s="899">
        <v>3845274457</v>
      </c>
      <c r="O129" s="899">
        <v>9296</v>
      </c>
      <c r="P129" s="887">
        <f t="shared" si="234"/>
        <v>34471</v>
      </c>
      <c r="Q129" s="884"/>
      <c r="R129" s="923">
        <f>R131</f>
        <v>40232643.990000002</v>
      </c>
      <c r="S129" s="924">
        <f>S131</f>
        <v>0</v>
      </c>
      <c r="T129" s="884"/>
      <c r="U129" s="923">
        <f>U131</f>
        <v>0</v>
      </c>
      <c r="V129" s="924">
        <f>V131</f>
        <v>0</v>
      </c>
      <c r="W129" s="884"/>
      <c r="X129" s="899"/>
      <c r="Y129" s="899">
        <f>Y131</f>
        <v>3885507100.9899998</v>
      </c>
      <c r="Z129" s="899">
        <f>Z131</f>
        <v>9296</v>
      </c>
      <c r="AA129" s="886">
        <f t="shared" si="235"/>
        <v>34831</v>
      </c>
      <c r="AB129" s="884"/>
      <c r="AC129" s="899"/>
      <c r="AD129" s="923">
        <f>AD131</f>
        <v>3873399245.4000001</v>
      </c>
      <c r="AE129" s="923">
        <f>AE131</f>
        <v>9073</v>
      </c>
      <c r="AF129" s="886">
        <f t="shared" si="236"/>
        <v>35576</v>
      </c>
      <c r="AG129" s="884"/>
      <c r="AH129" s="1034">
        <f>AH131</f>
        <v>25040829.600000001</v>
      </c>
      <c r="AI129" s="924">
        <f>AI131</f>
        <v>0</v>
      </c>
      <c r="AJ129" s="884"/>
      <c r="AK129" s="923">
        <f>AK131</f>
        <v>0</v>
      </c>
      <c r="AL129" s="924">
        <f>AL131</f>
        <v>0</v>
      </c>
      <c r="AM129" s="884"/>
      <c r="AN129" s="923">
        <f>AN131</f>
        <v>15191814.390000001</v>
      </c>
      <c r="AO129" s="924">
        <f>AO131</f>
        <v>0</v>
      </c>
      <c r="AP129" s="884"/>
      <c r="AQ129" s="923">
        <f>AQ131</f>
        <v>0</v>
      </c>
      <c r="AR129" s="924">
        <f>AR131</f>
        <v>0</v>
      </c>
      <c r="AS129" s="903"/>
      <c r="AT129" s="874"/>
      <c r="AU129" s="884"/>
      <c r="AV129" s="899"/>
      <c r="AW129" s="899">
        <f t="shared" si="244"/>
        <v>28124788.400000095</v>
      </c>
      <c r="AX129" s="899">
        <f t="shared" si="244"/>
        <v>-223</v>
      </c>
      <c r="AY129" s="891"/>
      <c r="AZ129" s="904"/>
      <c r="BA129" s="904">
        <f t="shared" si="237"/>
        <v>100.73141172924085</v>
      </c>
      <c r="BB129" s="904">
        <f t="shared" si="237"/>
        <v>97.601118760757316</v>
      </c>
      <c r="BC129" s="884"/>
      <c r="BD129" s="899"/>
      <c r="BE129" s="899">
        <f t="shared" si="245"/>
        <v>-12107855.589999907</v>
      </c>
      <c r="BF129" s="899">
        <f t="shared" si="245"/>
        <v>-223</v>
      </c>
      <c r="BG129" s="891">
        <f t="shared" si="238"/>
        <v>105.45098852891483</v>
      </c>
      <c r="BH129" s="904">
        <f t="shared" si="239"/>
        <v>104.03555971458651</v>
      </c>
      <c r="BI129" s="906">
        <f t="shared" si="240"/>
        <v>103.20559310724957</v>
      </c>
      <c r="BJ129" s="905"/>
      <c r="BK129" s="874"/>
      <c r="BL129" s="884"/>
      <c r="BM129" s="899"/>
      <c r="BN129" s="899">
        <f t="shared" si="246"/>
        <v>-12107855.589999676</v>
      </c>
      <c r="BO129" s="899">
        <f t="shared" si="246"/>
        <v>-223</v>
      </c>
      <c r="BP129" s="884"/>
      <c r="BQ129" s="899"/>
      <c r="BR129" s="904">
        <f t="shared" si="241"/>
        <v>99.68838416002599</v>
      </c>
      <c r="BS129" s="906">
        <f t="shared" si="241"/>
        <v>97.601118760757316</v>
      </c>
      <c r="BT129" s="874"/>
      <c r="BU129" s="884"/>
      <c r="BV129" s="899"/>
      <c r="BW129" s="899">
        <f t="shared" si="247"/>
        <v>238712046.4000001</v>
      </c>
      <c r="BX129" s="899">
        <f t="shared" si="247"/>
        <v>95</v>
      </c>
      <c r="BY129" s="891"/>
      <c r="BZ129" s="904"/>
      <c r="CA129" s="904">
        <f t="shared" si="242"/>
        <v>106.56760907694274</v>
      </c>
      <c r="CB129" s="906">
        <f t="shared" si="242"/>
        <v>101.05814212519493</v>
      </c>
      <c r="CC129" s="874"/>
      <c r="CD129" s="874"/>
      <c r="CE129" s="874"/>
      <c r="CF129" s="874"/>
      <c r="CG129" s="874"/>
      <c r="CH129" s="874"/>
      <c r="CI129" s="874"/>
      <c r="CJ129" s="874"/>
      <c r="CK129" s="874"/>
      <c r="CL129" s="874"/>
      <c r="CM129" s="874"/>
      <c r="CN129" s="874"/>
      <c r="CO129" s="874"/>
      <c r="CP129" s="874"/>
      <c r="CQ129" s="874"/>
      <c r="CR129" s="874"/>
      <c r="CS129" s="874"/>
      <c r="CT129" s="874"/>
      <c r="CU129" s="874"/>
      <c r="CV129" s="874"/>
      <c r="CW129" s="874"/>
      <c r="CX129" s="874"/>
      <c r="CY129" s="874"/>
      <c r="CZ129" s="874"/>
      <c r="DA129" s="874"/>
      <c r="DB129" s="874"/>
      <c r="DC129" s="874"/>
      <c r="DD129" s="874"/>
      <c r="DE129" s="874"/>
      <c r="DF129" s="874"/>
      <c r="DG129" s="874"/>
      <c r="DH129" s="874"/>
      <c r="DI129" s="874"/>
      <c r="DJ129" s="874"/>
      <c r="DK129" s="874"/>
      <c r="DL129" s="874"/>
      <c r="DM129" s="874"/>
      <c r="DN129" s="874"/>
      <c r="DO129" s="874"/>
      <c r="DP129" s="874"/>
      <c r="DQ129" s="874"/>
      <c r="DR129" s="874"/>
      <c r="DS129" s="874"/>
      <c r="DT129" s="874"/>
      <c r="DU129" s="874"/>
      <c r="DV129" s="874"/>
      <c r="DW129" s="874"/>
      <c r="DX129" s="874"/>
      <c r="DY129" s="874"/>
      <c r="DZ129" s="874"/>
      <c r="EA129" s="874"/>
    </row>
    <row r="130" spans="1:131" ht="20.25" hidden="1" outlineLevel="1">
      <c r="A130" s="896" t="s">
        <v>702</v>
      </c>
      <c r="B130" s="884"/>
      <c r="C130" s="899"/>
      <c r="D130" s="917">
        <v>0</v>
      </c>
      <c r="E130" s="917">
        <v>0</v>
      </c>
      <c r="F130" s="886">
        <f t="shared" si="232"/>
        <v>0</v>
      </c>
      <c r="G130" s="884"/>
      <c r="H130" s="899"/>
      <c r="I130" s="917">
        <v>0</v>
      </c>
      <c r="J130" s="917">
        <v>0</v>
      </c>
      <c r="K130" s="886">
        <f t="shared" si="233"/>
        <v>0</v>
      </c>
      <c r="L130" s="884"/>
      <c r="M130" s="899"/>
      <c r="N130" s="917">
        <v>0</v>
      </c>
      <c r="O130" s="917">
        <v>0</v>
      </c>
      <c r="P130" s="887">
        <f t="shared" si="234"/>
        <v>0</v>
      </c>
      <c r="Q130" s="884"/>
      <c r="R130" s="918"/>
      <c r="S130" s="919"/>
      <c r="T130" s="884"/>
      <c r="U130" s="918"/>
      <c r="V130" s="919"/>
      <c r="W130" s="884"/>
      <c r="X130" s="899"/>
      <c r="Y130" s="899">
        <f t="shared" si="243"/>
        <v>0</v>
      </c>
      <c r="Z130" s="899">
        <f t="shared" si="243"/>
        <v>0</v>
      </c>
      <c r="AA130" s="886">
        <f t="shared" si="235"/>
        <v>0</v>
      </c>
      <c r="AB130" s="884"/>
      <c r="AC130" s="899"/>
      <c r="AD130" s="918"/>
      <c r="AE130" s="918"/>
      <c r="AF130" s="886">
        <f t="shared" si="236"/>
        <v>0</v>
      </c>
      <c r="AG130" s="884"/>
      <c r="AH130" s="918"/>
      <c r="AI130" s="919"/>
      <c r="AJ130" s="884"/>
      <c r="AK130" s="918"/>
      <c r="AL130" s="919"/>
      <c r="AM130" s="884"/>
      <c r="AN130" s="918"/>
      <c r="AO130" s="919"/>
      <c r="AP130" s="884"/>
      <c r="AQ130" s="918"/>
      <c r="AR130" s="919"/>
      <c r="AS130" s="903"/>
      <c r="AT130" s="874"/>
      <c r="AU130" s="884"/>
      <c r="AV130" s="899"/>
      <c r="AW130" s="899">
        <f t="shared" si="244"/>
        <v>0</v>
      </c>
      <c r="AX130" s="899">
        <f t="shared" si="244"/>
        <v>0</v>
      </c>
      <c r="AY130" s="891"/>
      <c r="AZ130" s="904"/>
      <c r="BA130" s="904">
        <f t="shared" si="237"/>
        <v>0</v>
      </c>
      <c r="BB130" s="904">
        <f t="shared" si="237"/>
        <v>0</v>
      </c>
      <c r="BC130" s="884"/>
      <c r="BD130" s="899"/>
      <c r="BE130" s="899">
        <f t="shared" si="245"/>
        <v>0</v>
      </c>
      <c r="BF130" s="899">
        <f t="shared" si="245"/>
        <v>0</v>
      </c>
      <c r="BG130" s="891">
        <f t="shared" si="238"/>
        <v>0</v>
      </c>
      <c r="BH130" s="904">
        <f t="shared" si="239"/>
        <v>0</v>
      </c>
      <c r="BI130" s="906">
        <f t="shared" si="240"/>
        <v>0</v>
      </c>
      <c r="BJ130" s="905"/>
      <c r="BK130" s="874"/>
      <c r="BL130" s="884"/>
      <c r="BM130" s="899"/>
      <c r="BN130" s="899">
        <f t="shared" si="246"/>
        <v>0</v>
      </c>
      <c r="BO130" s="899">
        <f t="shared" si="246"/>
        <v>0</v>
      </c>
      <c r="BP130" s="884"/>
      <c r="BQ130" s="899"/>
      <c r="BR130" s="904">
        <f t="shared" si="241"/>
        <v>0</v>
      </c>
      <c r="BS130" s="906">
        <f t="shared" si="241"/>
        <v>0</v>
      </c>
      <c r="BT130" s="874"/>
      <c r="BU130" s="884"/>
      <c r="BV130" s="899"/>
      <c r="BW130" s="899">
        <f t="shared" si="247"/>
        <v>0</v>
      </c>
      <c r="BX130" s="899">
        <f t="shared" si="247"/>
        <v>0</v>
      </c>
      <c r="BY130" s="891"/>
      <c r="BZ130" s="904"/>
      <c r="CA130" s="904">
        <f t="shared" si="242"/>
        <v>0</v>
      </c>
      <c r="CB130" s="906">
        <f t="shared" si="242"/>
        <v>0</v>
      </c>
      <c r="CC130" s="874"/>
      <c r="CD130" s="874"/>
      <c r="CE130" s="874"/>
      <c r="CF130" s="874"/>
      <c r="CG130" s="874"/>
      <c r="CH130" s="874"/>
      <c r="CI130" s="874"/>
      <c r="CJ130" s="874"/>
      <c r="CK130" s="874"/>
      <c r="CL130" s="874"/>
      <c r="CM130" s="874"/>
      <c r="CN130" s="874"/>
      <c r="CO130" s="874"/>
      <c r="CP130" s="874"/>
      <c r="CQ130" s="874"/>
      <c r="CR130" s="874"/>
      <c r="CS130" s="874"/>
      <c r="CT130" s="874"/>
      <c r="CU130" s="874"/>
      <c r="CV130" s="874"/>
      <c r="CW130" s="874"/>
      <c r="CX130" s="874"/>
      <c r="CY130" s="874"/>
      <c r="CZ130" s="874"/>
      <c r="DA130" s="874"/>
      <c r="DB130" s="874"/>
      <c r="DC130" s="874"/>
      <c r="DD130" s="874"/>
      <c r="DE130" s="874"/>
      <c r="DF130" s="874"/>
      <c r="DG130" s="874"/>
      <c r="DH130" s="874"/>
      <c r="DI130" s="874"/>
      <c r="DJ130" s="874"/>
      <c r="DK130" s="874"/>
      <c r="DL130" s="874"/>
      <c r="DM130" s="874"/>
      <c r="DN130" s="874"/>
      <c r="DO130" s="874"/>
      <c r="DP130" s="874"/>
      <c r="DQ130" s="874"/>
      <c r="DR130" s="874"/>
      <c r="DS130" s="874"/>
      <c r="DT130" s="874"/>
      <c r="DU130" s="874"/>
      <c r="DV130" s="874"/>
      <c r="DW130" s="874"/>
      <c r="DX130" s="874"/>
      <c r="DY130" s="874"/>
      <c r="DZ130" s="874"/>
      <c r="EA130" s="874"/>
    </row>
    <row r="131" spans="1:131" ht="20.25" outlineLevel="1">
      <c r="A131" s="896" t="s">
        <v>716</v>
      </c>
      <c r="B131" s="884"/>
      <c r="C131" s="899"/>
      <c r="D131" s="917">
        <v>3634687199</v>
      </c>
      <c r="E131" s="917">
        <v>8978</v>
      </c>
      <c r="F131" s="886">
        <f t="shared" si="232"/>
        <v>33737</v>
      </c>
      <c r="G131" s="884"/>
      <c r="H131" s="899"/>
      <c r="I131" s="917">
        <v>3792081112</v>
      </c>
      <c r="J131" s="917">
        <v>9241</v>
      </c>
      <c r="K131" s="886">
        <f t="shared" si="233"/>
        <v>34196</v>
      </c>
      <c r="L131" s="884"/>
      <c r="M131" s="899"/>
      <c r="N131" s="917">
        <v>3845274457</v>
      </c>
      <c r="O131" s="917">
        <v>9296</v>
      </c>
      <c r="P131" s="887">
        <f t="shared" si="234"/>
        <v>34471</v>
      </c>
      <c r="Q131" s="884"/>
      <c r="R131" s="918">
        <f>[6]LRZ!$I$23+15191814.39</f>
        <v>40232643.990000002</v>
      </c>
      <c r="S131" s="919"/>
      <c r="T131" s="884"/>
      <c r="U131" s="918"/>
      <c r="V131" s="919"/>
      <c r="W131" s="884"/>
      <c r="X131" s="899"/>
      <c r="Y131" s="899">
        <f t="shared" si="243"/>
        <v>3885507100.9899998</v>
      </c>
      <c r="Z131" s="899">
        <f t="shared" si="243"/>
        <v>9296</v>
      </c>
      <c r="AA131" s="886">
        <f t="shared" si="235"/>
        <v>34831</v>
      </c>
      <c r="AB131" s="884"/>
      <c r="AC131" s="899"/>
      <c r="AD131" s="918">
        <f>[7]LRZ!$E$23</f>
        <v>3873399245.4000001</v>
      </c>
      <c r="AE131" s="918">
        <f>'[7]HZS ČR'!$E$84</f>
        <v>9073</v>
      </c>
      <c r="AF131" s="886">
        <f t="shared" si="236"/>
        <v>35576</v>
      </c>
      <c r="AG131" s="884"/>
      <c r="AH131" s="918">
        <f>33832555.25-1813398-3182148-3348023.65-224720-223436</f>
        <v>25040829.600000001</v>
      </c>
      <c r="AI131" s="919"/>
      <c r="AJ131" s="884"/>
      <c r="AK131" s="918"/>
      <c r="AL131" s="919"/>
      <c r="AM131" s="884"/>
      <c r="AN131" s="918">
        <v>15191814.390000001</v>
      </c>
      <c r="AO131" s="919"/>
      <c r="AP131" s="884"/>
      <c r="AQ131" s="918"/>
      <c r="AR131" s="919"/>
      <c r="AS131" s="903"/>
      <c r="AT131" s="874"/>
      <c r="AU131" s="884"/>
      <c r="AV131" s="899"/>
      <c r="AW131" s="899">
        <f t="shared" si="244"/>
        <v>28124788.400000095</v>
      </c>
      <c r="AX131" s="899">
        <f t="shared" si="244"/>
        <v>-223</v>
      </c>
      <c r="AY131" s="891"/>
      <c r="AZ131" s="904"/>
      <c r="BA131" s="904">
        <f t="shared" si="237"/>
        <v>100.73141172924085</v>
      </c>
      <c r="BB131" s="904">
        <f t="shared" si="237"/>
        <v>97.601118760757316</v>
      </c>
      <c r="BC131" s="884"/>
      <c r="BD131" s="899"/>
      <c r="BE131" s="899">
        <f t="shared" si="245"/>
        <v>-12107855.589999907</v>
      </c>
      <c r="BF131" s="899">
        <f t="shared" si="245"/>
        <v>-223</v>
      </c>
      <c r="BG131" s="891">
        <f t="shared" si="238"/>
        <v>105.45098852891483</v>
      </c>
      <c r="BH131" s="904">
        <f t="shared" si="239"/>
        <v>104.03555971458651</v>
      </c>
      <c r="BI131" s="906">
        <f t="shared" si="240"/>
        <v>103.20559310724957</v>
      </c>
      <c r="BJ131" s="905"/>
      <c r="BK131" s="874"/>
      <c r="BL131" s="884"/>
      <c r="BM131" s="899"/>
      <c r="BN131" s="899">
        <f t="shared" si="246"/>
        <v>-12107855.589999676</v>
      </c>
      <c r="BO131" s="899">
        <f t="shared" si="246"/>
        <v>-223</v>
      </c>
      <c r="BP131" s="884"/>
      <c r="BQ131" s="899"/>
      <c r="BR131" s="904">
        <f t="shared" si="241"/>
        <v>99.68838416002599</v>
      </c>
      <c r="BS131" s="906">
        <f t="shared" si="241"/>
        <v>97.601118760757316</v>
      </c>
      <c r="BT131" s="874"/>
      <c r="BU131" s="884"/>
      <c r="BV131" s="899"/>
      <c r="BW131" s="899">
        <f t="shared" si="247"/>
        <v>238712046.4000001</v>
      </c>
      <c r="BX131" s="899">
        <f t="shared" si="247"/>
        <v>95</v>
      </c>
      <c r="BY131" s="891"/>
      <c r="BZ131" s="904"/>
      <c r="CA131" s="904">
        <f t="shared" si="242"/>
        <v>106.56760907694274</v>
      </c>
      <c r="CB131" s="906">
        <f t="shared" si="242"/>
        <v>101.05814212519493</v>
      </c>
      <c r="CC131" s="874"/>
      <c r="CD131" s="874"/>
      <c r="CE131" s="874"/>
      <c r="CF131" s="874"/>
      <c r="CG131" s="874"/>
      <c r="CH131" s="874"/>
      <c r="CI131" s="874"/>
      <c r="CJ131" s="874"/>
      <c r="CK131" s="874"/>
      <c r="CL131" s="874"/>
      <c r="CM131" s="874"/>
      <c r="CN131" s="874"/>
      <c r="CO131" s="874"/>
      <c r="CP131" s="874"/>
      <c r="CQ131" s="874"/>
      <c r="CR131" s="874"/>
      <c r="CS131" s="874"/>
      <c r="CT131" s="874"/>
      <c r="CU131" s="874"/>
      <c r="CV131" s="874"/>
      <c r="CW131" s="874"/>
      <c r="CX131" s="874"/>
      <c r="CY131" s="874"/>
      <c r="CZ131" s="874"/>
      <c r="DA131" s="874"/>
      <c r="DB131" s="874"/>
      <c r="DC131" s="874"/>
      <c r="DD131" s="874"/>
      <c r="DE131" s="874"/>
      <c r="DF131" s="874"/>
      <c r="DG131" s="874"/>
      <c r="DH131" s="874"/>
      <c r="DI131" s="874"/>
      <c r="DJ131" s="874"/>
      <c r="DK131" s="874"/>
      <c r="DL131" s="874"/>
      <c r="DM131" s="874"/>
      <c r="DN131" s="874"/>
      <c r="DO131" s="874"/>
      <c r="DP131" s="874"/>
      <c r="DQ131" s="874"/>
      <c r="DR131" s="874"/>
      <c r="DS131" s="874"/>
      <c r="DT131" s="874"/>
      <c r="DU131" s="874"/>
      <c r="DV131" s="874"/>
      <c r="DW131" s="874"/>
      <c r="DX131" s="874"/>
      <c r="DY131" s="874"/>
      <c r="DZ131" s="874"/>
      <c r="EA131" s="874"/>
    </row>
    <row r="132" spans="1:131" ht="20.25" hidden="1" outlineLevel="1">
      <c r="A132" s="896" t="s">
        <v>704</v>
      </c>
      <c r="B132" s="884"/>
      <c r="C132" s="899"/>
      <c r="D132" s="917">
        <v>0</v>
      </c>
      <c r="E132" s="917">
        <v>0</v>
      </c>
      <c r="F132" s="886">
        <f t="shared" si="232"/>
        <v>0</v>
      </c>
      <c r="G132" s="884"/>
      <c r="H132" s="899"/>
      <c r="I132" s="917">
        <v>0</v>
      </c>
      <c r="J132" s="917">
        <v>0</v>
      </c>
      <c r="K132" s="886">
        <f t="shared" si="233"/>
        <v>0</v>
      </c>
      <c r="L132" s="884"/>
      <c r="M132" s="899"/>
      <c r="N132" s="917">
        <v>0</v>
      </c>
      <c r="O132" s="917">
        <v>0</v>
      </c>
      <c r="P132" s="887">
        <f t="shared" si="234"/>
        <v>0</v>
      </c>
      <c r="Q132" s="884"/>
      <c r="R132" s="918"/>
      <c r="S132" s="919"/>
      <c r="T132" s="884"/>
      <c r="U132" s="918"/>
      <c r="V132" s="919"/>
      <c r="W132" s="884"/>
      <c r="X132" s="899"/>
      <c r="Y132" s="899">
        <f t="shared" si="243"/>
        <v>0</v>
      </c>
      <c r="Z132" s="899">
        <f t="shared" si="243"/>
        <v>0</v>
      </c>
      <c r="AA132" s="886">
        <f t="shared" si="235"/>
        <v>0</v>
      </c>
      <c r="AB132" s="884"/>
      <c r="AC132" s="899"/>
      <c r="AD132" s="918"/>
      <c r="AE132" s="918"/>
      <c r="AF132" s="886">
        <f t="shared" si="236"/>
        <v>0</v>
      </c>
      <c r="AG132" s="884"/>
      <c r="AH132" s="918"/>
      <c r="AI132" s="919"/>
      <c r="AJ132" s="884"/>
      <c r="AK132" s="918"/>
      <c r="AL132" s="919"/>
      <c r="AM132" s="884"/>
      <c r="AN132" s="918"/>
      <c r="AO132" s="919"/>
      <c r="AP132" s="884"/>
      <c r="AQ132" s="918"/>
      <c r="AR132" s="919"/>
      <c r="AS132" s="903"/>
      <c r="AT132" s="874"/>
      <c r="AU132" s="884"/>
      <c r="AV132" s="899"/>
      <c r="AW132" s="899">
        <f t="shared" si="244"/>
        <v>0</v>
      </c>
      <c r="AX132" s="899">
        <f t="shared" si="244"/>
        <v>0</v>
      </c>
      <c r="AY132" s="891"/>
      <c r="AZ132" s="904"/>
      <c r="BA132" s="904">
        <f t="shared" si="237"/>
        <v>0</v>
      </c>
      <c r="BB132" s="904">
        <f t="shared" si="237"/>
        <v>0</v>
      </c>
      <c r="BC132" s="884"/>
      <c r="BD132" s="899"/>
      <c r="BE132" s="899">
        <f t="shared" si="245"/>
        <v>0</v>
      </c>
      <c r="BF132" s="899">
        <f t="shared" si="245"/>
        <v>0</v>
      </c>
      <c r="BG132" s="891">
        <f t="shared" si="238"/>
        <v>0</v>
      </c>
      <c r="BH132" s="904">
        <f t="shared" si="239"/>
        <v>0</v>
      </c>
      <c r="BI132" s="906">
        <f t="shared" si="240"/>
        <v>0</v>
      </c>
      <c r="BJ132" s="905"/>
      <c r="BK132" s="874"/>
      <c r="BL132" s="884"/>
      <c r="BM132" s="899"/>
      <c r="BN132" s="899">
        <f t="shared" si="246"/>
        <v>0</v>
      </c>
      <c r="BO132" s="899">
        <f t="shared" si="246"/>
        <v>0</v>
      </c>
      <c r="BP132" s="884"/>
      <c r="BQ132" s="899"/>
      <c r="BR132" s="904">
        <f t="shared" si="241"/>
        <v>0</v>
      </c>
      <c r="BS132" s="906">
        <f t="shared" si="241"/>
        <v>0</v>
      </c>
      <c r="BT132" s="874"/>
      <c r="BU132" s="884"/>
      <c r="BV132" s="899"/>
      <c r="BW132" s="899">
        <f t="shared" si="247"/>
        <v>0</v>
      </c>
      <c r="BX132" s="899">
        <f t="shared" si="247"/>
        <v>0</v>
      </c>
      <c r="BY132" s="891"/>
      <c r="BZ132" s="904"/>
      <c r="CA132" s="904">
        <f t="shared" si="242"/>
        <v>0</v>
      </c>
      <c r="CB132" s="906">
        <f t="shared" si="242"/>
        <v>0</v>
      </c>
      <c r="CC132" s="874"/>
      <c r="CD132" s="874"/>
      <c r="CE132" s="874"/>
      <c r="CF132" s="874"/>
      <c r="CG132" s="874"/>
      <c r="CH132" s="874"/>
      <c r="CI132" s="874"/>
      <c r="CJ132" s="874"/>
      <c r="CK132" s="874"/>
      <c r="CL132" s="874"/>
      <c r="CM132" s="874"/>
      <c r="CN132" s="874"/>
      <c r="CO132" s="874"/>
      <c r="CP132" s="874"/>
      <c r="CQ132" s="874"/>
      <c r="CR132" s="874"/>
      <c r="CS132" s="874"/>
      <c r="CT132" s="874"/>
      <c r="CU132" s="874"/>
      <c r="CV132" s="874"/>
      <c r="CW132" s="874"/>
      <c r="CX132" s="874"/>
      <c r="CY132" s="874"/>
      <c r="CZ132" s="874"/>
      <c r="DA132" s="874"/>
      <c r="DB132" s="874"/>
      <c r="DC132" s="874"/>
      <c r="DD132" s="874"/>
      <c r="DE132" s="874"/>
      <c r="DF132" s="874"/>
      <c r="DG132" s="874"/>
      <c r="DH132" s="874"/>
      <c r="DI132" s="874"/>
      <c r="DJ132" s="874"/>
      <c r="DK132" s="874"/>
      <c r="DL132" s="874"/>
      <c r="DM132" s="874"/>
      <c r="DN132" s="874"/>
      <c r="DO132" s="874"/>
      <c r="DP132" s="874"/>
      <c r="DQ132" s="874"/>
      <c r="DR132" s="874"/>
      <c r="DS132" s="874"/>
      <c r="DT132" s="874"/>
      <c r="DU132" s="874"/>
      <c r="DV132" s="874"/>
      <c r="DW132" s="874"/>
      <c r="DX132" s="874"/>
      <c r="DY132" s="874"/>
      <c r="DZ132" s="874"/>
      <c r="EA132" s="874"/>
    </row>
    <row r="133" spans="1:131" ht="20.25" hidden="1" outlineLevel="1">
      <c r="A133" s="897" t="s">
        <v>705</v>
      </c>
      <c r="B133" s="884"/>
      <c r="C133" s="899"/>
      <c r="D133" s="917">
        <v>0</v>
      </c>
      <c r="E133" s="917">
        <v>0</v>
      </c>
      <c r="F133" s="886">
        <f t="shared" si="232"/>
        <v>0</v>
      </c>
      <c r="G133" s="884"/>
      <c r="H133" s="899"/>
      <c r="I133" s="917">
        <v>0</v>
      </c>
      <c r="J133" s="917">
        <v>0</v>
      </c>
      <c r="K133" s="886">
        <f t="shared" si="233"/>
        <v>0</v>
      </c>
      <c r="L133" s="884"/>
      <c r="M133" s="899"/>
      <c r="N133" s="917">
        <v>0</v>
      </c>
      <c r="O133" s="917">
        <v>0</v>
      </c>
      <c r="P133" s="887">
        <f t="shared" si="234"/>
        <v>0</v>
      </c>
      <c r="Q133" s="884"/>
      <c r="R133" s="918"/>
      <c r="S133" s="919"/>
      <c r="T133" s="884"/>
      <c r="U133" s="918"/>
      <c r="V133" s="919"/>
      <c r="W133" s="884"/>
      <c r="X133" s="899"/>
      <c r="Y133" s="899">
        <f t="shared" si="243"/>
        <v>0</v>
      </c>
      <c r="Z133" s="899">
        <f t="shared" si="243"/>
        <v>0</v>
      </c>
      <c r="AA133" s="886">
        <f t="shared" si="235"/>
        <v>0</v>
      </c>
      <c r="AB133" s="884"/>
      <c r="AC133" s="899"/>
      <c r="AD133" s="918"/>
      <c r="AE133" s="918"/>
      <c r="AF133" s="886">
        <f t="shared" si="236"/>
        <v>0</v>
      </c>
      <c r="AG133" s="884"/>
      <c r="AH133" s="918"/>
      <c r="AI133" s="919"/>
      <c r="AJ133" s="884"/>
      <c r="AK133" s="918"/>
      <c r="AL133" s="919"/>
      <c r="AM133" s="884"/>
      <c r="AN133" s="918"/>
      <c r="AO133" s="919"/>
      <c r="AP133" s="884"/>
      <c r="AQ133" s="918"/>
      <c r="AR133" s="919"/>
      <c r="AS133" s="903"/>
      <c r="AT133" s="874"/>
      <c r="AU133" s="884"/>
      <c r="AV133" s="899"/>
      <c r="AW133" s="899">
        <f t="shared" si="244"/>
        <v>0</v>
      </c>
      <c r="AX133" s="899">
        <f t="shared" si="244"/>
        <v>0</v>
      </c>
      <c r="AY133" s="891"/>
      <c r="AZ133" s="904"/>
      <c r="BA133" s="904">
        <f t="shared" si="237"/>
        <v>0</v>
      </c>
      <c r="BB133" s="904">
        <f t="shared" si="237"/>
        <v>0</v>
      </c>
      <c r="BC133" s="884"/>
      <c r="BD133" s="899"/>
      <c r="BE133" s="899">
        <f t="shared" si="245"/>
        <v>0</v>
      </c>
      <c r="BF133" s="899">
        <f t="shared" si="245"/>
        <v>0</v>
      </c>
      <c r="BG133" s="891">
        <f t="shared" si="238"/>
        <v>0</v>
      </c>
      <c r="BH133" s="904">
        <f t="shared" si="239"/>
        <v>0</v>
      </c>
      <c r="BI133" s="906">
        <f t="shared" si="240"/>
        <v>0</v>
      </c>
      <c r="BJ133" s="905"/>
      <c r="BK133" s="874"/>
      <c r="BL133" s="884"/>
      <c r="BM133" s="899"/>
      <c r="BN133" s="899">
        <f t="shared" si="246"/>
        <v>0</v>
      </c>
      <c r="BO133" s="899">
        <f t="shared" si="246"/>
        <v>0</v>
      </c>
      <c r="BP133" s="884"/>
      <c r="BQ133" s="899"/>
      <c r="BR133" s="904">
        <f t="shared" si="241"/>
        <v>0</v>
      </c>
      <c r="BS133" s="906">
        <f t="shared" si="241"/>
        <v>0</v>
      </c>
      <c r="BT133" s="874"/>
      <c r="BU133" s="884"/>
      <c r="BV133" s="899"/>
      <c r="BW133" s="899">
        <f t="shared" si="247"/>
        <v>0</v>
      </c>
      <c r="BX133" s="899">
        <f t="shared" si="247"/>
        <v>0</v>
      </c>
      <c r="BY133" s="891"/>
      <c r="BZ133" s="904"/>
      <c r="CA133" s="904">
        <f t="shared" si="242"/>
        <v>0</v>
      </c>
      <c r="CB133" s="906">
        <f t="shared" si="242"/>
        <v>0</v>
      </c>
      <c r="CC133" s="874"/>
      <c r="CD133" s="874"/>
      <c r="CE133" s="874"/>
      <c r="CF133" s="874"/>
      <c r="CG133" s="874"/>
      <c r="CH133" s="874"/>
      <c r="CI133" s="874"/>
      <c r="CJ133" s="874"/>
      <c r="CK133" s="874"/>
      <c r="CL133" s="874"/>
      <c r="CM133" s="874"/>
      <c r="CN133" s="874"/>
      <c r="CO133" s="874"/>
      <c r="CP133" s="874"/>
      <c r="CQ133" s="874"/>
      <c r="CR133" s="874"/>
      <c r="CS133" s="874"/>
      <c r="CT133" s="874"/>
      <c r="CU133" s="874"/>
      <c r="CV133" s="874"/>
      <c r="CW133" s="874"/>
      <c r="CX133" s="874"/>
      <c r="CY133" s="874"/>
      <c r="CZ133" s="874"/>
      <c r="DA133" s="874"/>
      <c r="DB133" s="874"/>
      <c r="DC133" s="874"/>
      <c r="DD133" s="874"/>
      <c r="DE133" s="874"/>
      <c r="DF133" s="874"/>
      <c r="DG133" s="874"/>
      <c r="DH133" s="874"/>
      <c r="DI133" s="874"/>
      <c r="DJ133" s="874"/>
      <c r="DK133" s="874"/>
      <c r="DL133" s="874"/>
      <c r="DM133" s="874"/>
      <c r="DN133" s="874"/>
      <c r="DO133" s="874"/>
      <c r="DP133" s="874"/>
      <c r="DQ133" s="874"/>
      <c r="DR133" s="874"/>
      <c r="DS133" s="874"/>
      <c r="DT133" s="874"/>
      <c r="DU133" s="874"/>
      <c r="DV133" s="874"/>
      <c r="DW133" s="874"/>
      <c r="DX133" s="874"/>
      <c r="DY133" s="874"/>
      <c r="DZ133" s="874"/>
      <c r="EA133" s="874"/>
    </row>
    <row r="134" spans="1:131" ht="20.25" hidden="1" outlineLevel="1">
      <c r="A134" s="896" t="s">
        <v>706</v>
      </c>
      <c r="B134" s="884"/>
      <c r="C134" s="917">
        <v>0</v>
      </c>
      <c r="D134" s="899"/>
      <c r="E134" s="899"/>
      <c r="F134" s="902"/>
      <c r="G134" s="884"/>
      <c r="H134" s="917">
        <v>0</v>
      </c>
      <c r="I134" s="899"/>
      <c r="J134" s="899"/>
      <c r="K134" s="902"/>
      <c r="L134" s="884"/>
      <c r="M134" s="917">
        <v>0</v>
      </c>
      <c r="N134" s="899"/>
      <c r="O134" s="899"/>
      <c r="P134" s="907"/>
      <c r="Q134" s="920"/>
      <c r="R134" s="899"/>
      <c r="S134" s="902"/>
      <c r="T134" s="920"/>
      <c r="U134" s="899"/>
      <c r="V134" s="902"/>
      <c r="W134" s="884"/>
      <c r="X134" s="899">
        <f>M134+Q134-T134</f>
        <v>0</v>
      </c>
      <c r="Y134" s="899"/>
      <c r="Z134" s="899"/>
      <c r="AA134" s="902"/>
      <c r="AB134" s="884"/>
      <c r="AC134" s="918"/>
      <c r="AD134" s="899"/>
      <c r="AE134" s="899"/>
      <c r="AF134" s="902"/>
      <c r="AG134" s="920"/>
      <c r="AH134" s="899"/>
      <c r="AI134" s="902"/>
      <c r="AJ134" s="920"/>
      <c r="AK134" s="899"/>
      <c r="AL134" s="902"/>
      <c r="AM134" s="920"/>
      <c r="AN134" s="899"/>
      <c r="AO134" s="902"/>
      <c r="AP134" s="920"/>
      <c r="AQ134" s="899"/>
      <c r="AR134" s="902"/>
      <c r="AS134" s="903"/>
      <c r="AT134" s="874"/>
      <c r="AU134" s="884"/>
      <c r="AV134" s="899">
        <f>AC134-M134</f>
        <v>0</v>
      </c>
      <c r="AW134" s="899"/>
      <c r="AX134" s="899"/>
      <c r="AY134" s="891"/>
      <c r="AZ134" s="904">
        <f>IF(M134=0,0,AC134/M134*100)</f>
        <v>0</v>
      </c>
      <c r="BA134" s="904"/>
      <c r="BB134" s="904"/>
      <c r="BC134" s="884"/>
      <c r="BD134" s="899">
        <f>AC134-M134-AG134-AJ134-AM134-AP134</f>
        <v>0</v>
      </c>
      <c r="BE134" s="899"/>
      <c r="BF134" s="899"/>
      <c r="BG134" s="884"/>
      <c r="BH134" s="899"/>
      <c r="BI134" s="902"/>
      <c r="BJ134" s="905"/>
      <c r="BK134" s="874"/>
      <c r="BL134" s="884"/>
      <c r="BM134" s="899">
        <f>AC134-X134</f>
        <v>0</v>
      </c>
      <c r="BN134" s="899"/>
      <c r="BO134" s="899"/>
      <c r="BP134" s="884"/>
      <c r="BQ134" s="904">
        <f>IF(X134=0,0,AC134/X134*100)</f>
        <v>0</v>
      </c>
      <c r="BR134" s="899"/>
      <c r="BS134" s="902"/>
      <c r="BT134" s="874"/>
      <c r="BU134" s="884"/>
      <c r="BV134" s="899">
        <f>AC134-C134</f>
        <v>0</v>
      </c>
      <c r="BW134" s="899"/>
      <c r="BX134" s="899"/>
      <c r="BY134" s="891"/>
      <c r="BZ134" s="904">
        <f>IF(C134=0,0,AC134/C134*100)</f>
        <v>0</v>
      </c>
      <c r="CA134" s="904"/>
      <c r="CB134" s="906"/>
      <c r="CC134" s="874"/>
      <c r="CD134" s="874"/>
      <c r="CE134" s="874"/>
      <c r="CF134" s="874"/>
      <c r="CG134" s="874"/>
      <c r="CH134" s="874"/>
      <c r="CI134" s="874"/>
      <c r="CJ134" s="874"/>
      <c r="CK134" s="874"/>
      <c r="CL134" s="874"/>
      <c r="CM134" s="874"/>
      <c r="CN134" s="874"/>
      <c r="CO134" s="874"/>
      <c r="CP134" s="874"/>
      <c r="CQ134" s="874"/>
      <c r="CR134" s="874"/>
      <c r="CS134" s="874"/>
      <c r="CT134" s="874"/>
      <c r="CU134" s="874"/>
      <c r="CV134" s="874"/>
      <c r="CW134" s="874"/>
      <c r="CX134" s="874"/>
      <c r="CY134" s="874"/>
      <c r="CZ134" s="874"/>
      <c r="DA134" s="874"/>
      <c r="DB134" s="874"/>
      <c r="DC134" s="874"/>
      <c r="DD134" s="874"/>
      <c r="DE134" s="874"/>
      <c r="DF134" s="874"/>
      <c r="DG134" s="874"/>
      <c r="DH134" s="874"/>
      <c r="DI134" s="874"/>
      <c r="DJ134" s="874"/>
      <c r="DK134" s="874"/>
      <c r="DL134" s="874"/>
      <c r="DM134" s="874"/>
      <c r="DN134" s="874"/>
      <c r="DO134" s="874"/>
      <c r="DP134" s="874"/>
      <c r="DQ134" s="874"/>
      <c r="DR134" s="874"/>
      <c r="DS134" s="874"/>
      <c r="DT134" s="874"/>
      <c r="DU134" s="874"/>
      <c r="DV134" s="874"/>
      <c r="DW134" s="874"/>
      <c r="DX134" s="874"/>
      <c r="DY134" s="874"/>
      <c r="DZ134" s="874"/>
      <c r="EA134" s="874"/>
    </row>
    <row r="135" spans="1:131" ht="20.100000000000001" hidden="1" customHeight="1" outlineLevel="1">
      <c r="A135" s="921" t="s">
        <v>717</v>
      </c>
      <c r="B135" s="884">
        <f>C135+D135</f>
        <v>0</v>
      </c>
      <c r="C135" s="917">
        <v>0</v>
      </c>
      <c r="D135" s="899">
        <f>SUM(D136:D137,D140:D141)</f>
        <v>0</v>
      </c>
      <c r="E135" s="899">
        <f>SUM(E136:E137,E140:E141)</f>
        <v>0</v>
      </c>
      <c r="F135" s="886">
        <f t="shared" ref="F135:F141" si="248">IF(E135=0,0,ROUND(D135/E135/12,0))</f>
        <v>0</v>
      </c>
      <c r="G135" s="884">
        <f>H135+I135</f>
        <v>0</v>
      </c>
      <c r="H135" s="917">
        <v>0</v>
      </c>
      <c r="I135" s="899">
        <f>SUM(I136:I137,I140:I141)</f>
        <v>0</v>
      </c>
      <c r="J135" s="899">
        <f>SUM(J136:J137,J140:J141)</f>
        <v>0</v>
      </c>
      <c r="K135" s="886">
        <f t="shared" ref="K135:K141" si="249">IF(J135=0,0,ROUND(I135/J135/12,0))</f>
        <v>0</v>
      </c>
      <c r="L135" s="884">
        <f>M135+N135</f>
        <v>0</v>
      </c>
      <c r="M135" s="917">
        <v>0</v>
      </c>
      <c r="N135" s="899">
        <f>SUM(N136:N137,N140:N141)</f>
        <v>0</v>
      </c>
      <c r="O135" s="899">
        <f>SUM(O136:O137,O140:O141)</f>
        <v>0</v>
      </c>
      <c r="P135" s="887">
        <f t="shared" ref="P135:P141" si="250">IF(O135=0,0,ROUND(N135/O135/12,0))</f>
        <v>0</v>
      </c>
      <c r="Q135" s="920"/>
      <c r="R135" s="899">
        <f>SUM(R136:R137,R140:R141)</f>
        <v>0</v>
      </c>
      <c r="S135" s="902">
        <f>SUM(S136:S137,S140:S141)</f>
        <v>0</v>
      </c>
      <c r="T135" s="920"/>
      <c r="U135" s="899">
        <f>SUM(U136:U137,U140:U141)</f>
        <v>0</v>
      </c>
      <c r="V135" s="902">
        <f>SUM(V136:V137,V140:V141)</f>
        <v>0</v>
      </c>
      <c r="W135" s="884">
        <f>X135+Y135</f>
        <v>0</v>
      </c>
      <c r="X135" s="899">
        <f>M135+Q135-T135</f>
        <v>0</v>
      </c>
      <c r="Y135" s="899">
        <f>SUM(Y136:Y137,Y140:Y141)</f>
        <v>0</v>
      </c>
      <c r="Z135" s="899">
        <f>SUM(Z136:Z137,Z140:Z141)</f>
        <v>0</v>
      </c>
      <c r="AA135" s="886">
        <f t="shared" ref="AA135:AA141" si="251">IF(Z135=0,0,ROUND(Y135/Z135/12,0))</f>
        <v>0</v>
      </c>
      <c r="AB135" s="884">
        <f>AC135+AD135</f>
        <v>0</v>
      </c>
      <c r="AC135" s="918"/>
      <c r="AD135" s="899">
        <f>SUM(AD136:AD137,AD140:AD141)</f>
        <v>0</v>
      </c>
      <c r="AE135" s="899">
        <f>SUM(AE136:AE137,AE140:AE141)</f>
        <v>0</v>
      </c>
      <c r="AF135" s="886">
        <f t="shared" ref="AF135:AF141" si="252">IF(AE135=0,0,ROUND(AD135/AE135/12,0))</f>
        <v>0</v>
      </c>
      <c r="AG135" s="920"/>
      <c r="AH135" s="899">
        <f>SUM(AH136:AH137,AH140:AH141)</f>
        <v>0</v>
      </c>
      <c r="AI135" s="902">
        <f>SUM(AI136:AI137,AI140:AI141)</f>
        <v>0</v>
      </c>
      <c r="AJ135" s="920"/>
      <c r="AK135" s="899">
        <f>SUM(AK136:AK137,AK140:AK141)</f>
        <v>0</v>
      </c>
      <c r="AL135" s="902">
        <f>SUM(AL136:AL137,AL140:AL141)</f>
        <v>0</v>
      </c>
      <c r="AM135" s="920"/>
      <c r="AN135" s="899">
        <f>SUM(AN136:AN137,AN140:AN141)</f>
        <v>0</v>
      </c>
      <c r="AO135" s="902">
        <f>SUM(AO136:AO137,AO140:AO141)</f>
        <v>0</v>
      </c>
      <c r="AP135" s="920"/>
      <c r="AQ135" s="899">
        <f>SUM(AQ136:AQ137,AQ140:AQ141)</f>
        <v>0</v>
      </c>
      <c r="AR135" s="902">
        <f>SUM(AR136:AR137,AR140:AR141)</f>
        <v>0</v>
      </c>
      <c r="AS135" s="903"/>
      <c r="AT135" s="874"/>
      <c r="AU135" s="884">
        <f>AV135+AW135</f>
        <v>0</v>
      </c>
      <c r="AV135" s="899">
        <f>AC135-M135</f>
        <v>0</v>
      </c>
      <c r="AW135" s="899">
        <f>SUM(AW136:AW137,AW140:AW141)</f>
        <v>0</v>
      </c>
      <c r="AX135" s="899">
        <f>SUM(AX136:AX137,AX140:AX141)</f>
        <v>0</v>
      </c>
      <c r="AY135" s="891">
        <f>IF(L135=0,0,AB135/L135*100)</f>
        <v>0</v>
      </c>
      <c r="AZ135" s="904">
        <f>IF(M135=0,0,AC135/M135*100)</f>
        <v>0</v>
      </c>
      <c r="BA135" s="904">
        <f t="shared" ref="BA135:BB141" si="253">IF(N135=0,0,AD135/N135*100)</f>
        <v>0</v>
      </c>
      <c r="BB135" s="904">
        <f t="shared" si="253"/>
        <v>0</v>
      </c>
      <c r="BC135" s="884">
        <f>BD135+BE135</f>
        <v>0</v>
      </c>
      <c r="BD135" s="899">
        <f>AC135-M135-AG135-AJ135-AM135-AP135</f>
        <v>0</v>
      </c>
      <c r="BE135" s="899">
        <f>SUM(BE136:BE137,BE140:BE141)</f>
        <v>0</v>
      </c>
      <c r="BF135" s="899">
        <f>SUM(BF136:BF137,BF140:BF141)</f>
        <v>0</v>
      </c>
      <c r="BG135" s="891">
        <f t="shared" ref="BG135:BG141" si="254">IF(F135=0,0,AF135/F135*100)</f>
        <v>0</v>
      </c>
      <c r="BH135" s="904">
        <f t="shared" ref="BH135:BH141" si="255">IF(K135=0,0,AF135/K135*100)</f>
        <v>0</v>
      </c>
      <c r="BI135" s="906">
        <f t="shared" ref="BI135:BI141" si="256">IF(P135=0,0,AF135/P135*100)</f>
        <v>0</v>
      </c>
      <c r="BJ135" s="905"/>
      <c r="BK135" s="874"/>
      <c r="BL135" s="884">
        <f>BM135+BN135</f>
        <v>0</v>
      </c>
      <c r="BM135" s="899">
        <f>AC135-X135</f>
        <v>0</v>
      </c>
      <c r="BN135" s="899">
        <f>SUM(BN136:BN137,BN140:BN141)</f>
        <v>0</v>
      </c>
      <c r="BO135" s="899">
        <f>SUM(BO136:BO137,BO140:BO141)</f>
        <v>0</v>
      </c>
      <c r="BP135" s="891">
        <f>IF(W135=0,0,AB135/W135*100)</f>
        <v>0</v>
      </c>
      <c r="BQ135" s="904">
        <f>IF(X135=0,0,AC135/X135*100)</f>
        <v>0</v>
      </c>
      <c r="BR135" s="904">
        <f t="shared" ref="BR135:BS141" si="257">IF(Y135=0,0,AD135/Y135*100)</f>
        <v>0</v>
      </c>
      <c r="BS135" s="906">
        <f t="shared" si="257"/>
        <v>0</v>
      </c>
      <c r="BT135" s="874"/>
      <c r="BU135" s="884">
        <f>BV135+BW135</f>
        <v>0</v>
      </c>
      <c r="BV135" s="899">
        <f>AC135-C135</f>
        <v>0</v>
      </c>
      <c r="BW135" s="899">
        <f>SUM(BW136:BW137,BW140:BW141)</f>
        <v>0</v>
      </c>
      <c r="BX135" s="899">
        <f>SUM(BX136:BX137,BX140:BX141)</f>
        <v>0</v>
      </c>
      <c r="BY135" s="891">
        <f>IF(B135=0,0,AB135/B135*100)</f>
        <v>0</v>
      </c>
      <c r="BZ135" s="904">
        <f>IF(C135=0,0,AC135/C135*100)</f>
        <v>0</v>
      </c>
      <c r="CA135" s="904">
        <f t="shared" ref="CA135:CB141" si="258">IF(D135=0,0,AD135/D135*100)</f>
        <v>0</v>
      </c>
      <c r="CB135" s="906">
        <f t="shared" si="258"/>
        <v>0</v>
      </c>
      <c r="CC135" s="874"/>
      <c r="CD135" s="874"/>
      <c r="CE135" s="874"/>
      <c r="CF135" s="874"/>
      <c r="CG135" s="874"/>
      <c r="CH135" s="874"/>
      <c r="CI135" s="874"/>
      <c r="CJ135" s="874"/>
      <c r="CK135" s="874"/>
      <c r="CL135" s="874"/>
      <c r="CM135" s="874"/>
      <c r="CN135" s="874"/>
      <c r="CO135" s="874"/>
      <c r="CP135" s="874"/>
      <c r="CQ135" s="874"/>
      <c r="CR135" s="874"/>
      <c r="CS135" s="874"/>
      <c r="CT135" s="874"/>
      <c r="CU135" s="874"/>
      <c r="CV135" s="874"/>
      <c r="CW135" s="874"/>
      <c r="CX135" s="874"/>
      <c r="CY135" s="874"/>
      <c r="CZ135" s="874"/>
      <c r="DA135" s="874"/>
      <c r="DB135" s="874"/>
      <c r="DC135" s="874"/>
      <c r="DD135" s="874"/>
      <c r="DE135" s="874"/>
      <c r="DF135" s="874"/>
      <c r="DG135" s="874"/>
      <c r="DH135" s="874"/>
      <c r="DI135" s="874"/>
      <c r="DJ135" s="874"/>
      <c r="DK135" s="874"/>
      <c r="DL135" s="874"/>
      <c r="DM135" s="874"/>
      <c r="DN135" s="874"/>
      <c r="DO135" s="874"/>
      <c r="DP135" s="874"/>
      <c r="DQ135" s="874"/>
      <c r="DR135" s="874"/>
      <c r="DS135" s="874"/>
      <c r="DT135" s="874"/>
      <c r="DU135" s="874"/>
      <c r="DV135" s="874"/>
      <c r="DW135" s="874"/>
      <c r="DX135" s="874"/>
      <c r="DY135" s="874"/>
      <c r="DZ135" s="874"/>
      <c r="EA135" s="874"/>
    </row>
    <row r="136" spans="1:131" ht="20.25" hidden="1" outlineLevel="1">
      <c r="A136" s="883" t="s">
        <v>700</v>
      </c>
      <c r="B136" s="884"/>
      <c r="C136" s="899"/>
      <c r="D136" s="917">
        <v>0</v>
      </c>
      <c r="E136" s="917">
        <v>0</v>
      </c>
      <c r="F136" s="886">
        <f t="shared" si="248"/>
        <v>0</v>
      </c>
      <c r="G136" s="884"/>
      <c r="H136" s="899"/>
      <c r="I136" s="917">
        <v>0</v>
      </c>
      <c r="J136" s="917">
        <v>0</v>
      </c>
      <c r="K136" s="886">
        <f t="shared" si="249"/>
        <v>0</v>
      </c>
      <c r="L136" s="884"/>
      <c r="M136" s="899"/>
      <c r="N136" s="917">
        <v>0</v>
      </c>
      <c r="O136" s="917">
        <v>0</v>
      </c>
      <c r="P136" s="887">
        <f t="shared" si="250"/>
        <v>0</v>
      </c>
      <c r="Q136" s="884"/>
      <c r="R136" s="918"/>
      <c r="S136" s="919"/>
      <c r="T136" s="884"/>
      <c r="U136" s="918"/>
      <c r="V136" s="919"/>
      <c r="W136" s="884"/>
      <c r="X136" s="899"/>
      <c r="Y136" s="899">
        <f t="shared" ref="Y136:Z141" si="259">N136+R136-U136</f>
        <v>0</v>
      </c>
      <c r="Z136" s="899">
        <f t="shared" si="259"/>
        <v>0</v>
      </c>
      <c r="AA136" s="886">
        <f t="shared" si="251"/>
        <v>0</v>
      </c>
      <c r="AB136" s="884"/>
      <c r="AC136" s="899"/>
      <c r="AD136" s="918"/>
      <c r="AE136" s="918"/>
      <c r="AF136" s="886">
        <f t="shared" si="252"/>
        <v>0</v>
      </c>
      <c r="AG136" s="884"/>
      <c r="AH136" s="918"/>
      <c r="AI136" s="919"/>
      <c r="AJ136" s="884"/>
      <c r="AK136" s="918"/>
      <c r="AL136" s="919"/>
      <c r="AM136" s="884"/>
      <c r="AN136" s="918"/>
      <c r="AO136" s="919"/>
      <c r="AP136" s="884"/>
      <c r="AQ136" s="918"/>
      <c r="AR136" s="919"/>
      <c r="AS136" s="903"/>
      <c r="AT136" s="874"/>
      <c r="AU136" s="884"/>
      <c r="AV136" s="899"/>
      <c r="AW136" s="899">
        <f t="shared" ref="AW136:AX141" si="260">AD136-N136</f>
        <v>0</v>
      </c>
      <c r="AX136" s="899">
        <f t="shared" si="260"/>
        <v>0</v>
      </c>
      <c r="AY136" s="891"/>
      <c r="AZ136" s="904"/>
      <c r="BA136" s="904">
        <f t="shared" si="253"/>
        <v>0</v>
      </c>
      <c r="BB136" s="904">
        <f t="shared" si="253"/>
        <v>0</v>
      </c>
      <c r="BC136" s="884"/>
      <c r="BD136" s="899"/>
      <c r="BE136" s="899">
        <f t="shared" ref="BE136:BF141" si="261">AD136-N136-AH136-AK136-AN136-AQ136</f>
        <v>0</v>
      </c>
      <c r="BF136" s="899">
        <f t="shared" si="261"/>
        <v>0</v>
      </c>
      <c r="BG136" s="891">
        <f t="shared" si="254"/>
        <v>0</v>
      </c>
      <c r="BH136" s="904">
        <f t="shared" si="255"/>
        <v>0</v>
      </c>
      <c r="BI136" s="906">
        <f t="shared" si="256"/>
        <v>0</v>
      </c>
      <c r="BJ136" s="905"/>
      <c r="BK136" s="874"/>
      <c r="BL136" s="884"/>
      <c r="BM136" s="899"/>
      <c r="BN136" s="899">
        <f t="shared" ref="BN136:BO141" si="262">AD136-Y136</f>
        <v>0</v>
      </c>
      <c r="BO136" s="899">
        <f t="shared" si="262"/>
        <v>0</v>
      </c>
      <c r="BP136" s="884"/>
      <c r="BQ136" s="899"/>
      <c r="BR136" s="904">
        <f t="shared" si="257"/>
        <v>0</v>
      </c>
      <c r="BS136" s="906">
        <f t="shared" si="257"/>
        <v>0</v>
      </c>
      <c r="BT136" s="874"/>
      <c r="BU136" s="884"/>
      <c r="BV136" s="899"/>
      <c r="BW136" s="899">
        <f t="shared" ref="BW136:BX141" si="263">AD136-D136</f>
        <v>0</v>
      </c>
      <c r="BX136" s="899">
        <f t="shared" si="263"/>
        <v>0</v>
      </c>
      <c r="BY136" s="891"/>
      <c r="BZ136" s="904"/>
      <c r="CA136" s="904">
        <f t="shared" si="258"/>
        <v>0</v>
      </c>
      <c r="CB136" s="906">
        <f t="shared" si="258"/>
        <v>0</v>
      </c>
      <c r="CC136" s="874"/>
      <c r="CD136" s="874"/>
      <c r="CE136" s="874"/>
      <c r="CF136" s="874"/>
      <c r="CG136" s="874"/>
      <c r="CH136" s="874"/>
      <c r="CI136" s="874"/>
      <c r="CJ136" s="874"/>
      <c r="CK136" s="874"/>
      <c r="CL136" s="874"/>
      <c r="CM136" s="874"/>
      <c r="CN136" s="874"/>
      <c r="CO136" s="874"/>
      <c r="CP136" s="874"/>
      <c r="CQ136" s="874"/>
      <c r="CR136" s="874"/>
      <c r="CS136" s="874"/>
      <c r="CT136" s="874"/>
      <c r="CU136" s="874"/>
      <c r="CV136" s="874"/>
      <c r="CW136" s="874"/>
      <c r="CX136" s="874"/>
      <c r="CY136" s="874"/>
      <c r="CZ136" s="874"/>
      <c r="DA136" s="874"/>
      <c r="DB136" s="874"/>
      <c r="DC136" s="874"/>
      <c r="DD136" s="874"/>
      <c r="DE136" s="874"/>
      <c r="DF136" s="874"/>
      <c r="DG136" s="874"/>
      <c r="DH136" s="874"/>
      <c r="DI136" s="874"/>
      <c r="DJ136" s="874"/>
      <c r="DK136" s="874"/>
      <c r="DL136" s="874"/>
      <c r="DM136" s="874"/>
      <c r="DN136" s="874"/>
      <c r="DO136" s="874"/>
      <c r="DP136" s="874"/>
      <c r="DQ136" s="874"/>
      <c r="DR136" s="874"/>
      <c r="DS136" s="874"/>
      <c r="DT136" s="874"/>
      <c r="DU136" s="874"/>
      <c r="DV136" s="874"/>
      <c r="DW136" s="874"/>
      <c r="DX136" s="874"/>
      <c r="DY136" s="874"/>
      <c r="DZ136" s="874"/>
      <c r="EA136" s="874"/>
    </row>
    <row r="137" spans="1:131" ht="20.25" hidden="1" outlineLevel="1">
      <c r="A137" s="896" t="s">
        <v>701</v>
      </c>
      <c r="B137" s="884"/>
      <c r="C137" s="899"/>
      <c r="D137" s="917">
        <v>0</v>
      </c>
      <c r="E137" s="917">
        <v>0</v>
      </c>
      <c r="F137" s="886">
        <f t="shared" si="248"/>
        <v>0</v>
      </c>
      <c r="G137" s="884"/>
      <c r="H137" s="899"/>
      <c r="I137" s="917">
        <v>0</v>
      </c>
      <c r="J137" s="917">
        <v>0</v>
      </c>
      <c r="K137" s="886">
        <f t="shared" si="249"/>
        <v>0</v>
      </c>
      <c r="L137" s="884"/>
      <c r="M137" s="899"/>
      <c r="N137" s="917"/>
      <c r="O137" s="917">
        <v>0</v>
      </c>
      <c r="P137" s="887">
        <f t="shared" si="250"/>
        <v>0</v>
      </c>
      <c r="Q137" s="884"/>
      <c r="R137" s="918"/>
      <c r="S137" s="919">
        <v>0</v>
      </c>
      <c r="T137" s="884"/>
      <c r="U137" s="918">
        <v>0</v>
      </c>
      <c r="V137" s="919">
        <v>0</v>
      </c>
      <c r="W137" s="884"/>
      <c r="X137" s="899"/>
      <c r="Y137" s="899">
        <f>N137+R137-U137</f>
        <v>0</v>
      </c>
      <c r="Z137" s="899">
        <f>O137+S137-V137</f>
        <v>0</v>
      </c>
      <c r="AA137" s="886">
        <f t="shared" si="251"/>
        <v>0</v>
      </c>
      <c r="AB137" s="884"/>
      <c r="AC137" s="899"/>
      <c r="AD137" s="918"/>
      <c r="AE137" s="918"/>
      <c r="AF137" s="886">
        <f t="shared" si="252"/>
        <v>0</v>
      </c>
      <c r="AG137" s="884"/>
      <c r="AH137" s="918"/>
      <c r="AI137" s="919">
        <v>0</v>
      </c>
      <c r="AJ137" s="884"/>
      <c r="AK137" s="918">
        <v>0</v>
      </c>
      <c r="AL137" s="919">
        <v>0</v>
      </c>
      <c r="AM137" s="884"/>
      <c r="AN137" s="918">
        <v>0</v>
      </c>
      <c r="AO137" s="919">
        <v>0</v>
      </c>
      <c r="AP137" s="884"/>
      <c r="AQ137" s="918">
        <v>0</v>
      </c>
      <c r="AR137" s="919">
        <v>0</v>
      </c>
      <c r="AS137" s="903"/>
      <c r="AT137" s="874"/>
      <c r="AU137" s="884"/>
      <c r="AV137" s="899"/>
      <c r="AW137" s="899">
        <f t="shared" si="260"/>
        <v>0</v>
      </c>
      <c r="AX137" s="899">
        <f t="shared" si="260"/>
        <v>0</v>
      </c>
      <c r="AY137" s="891"/>
      <c r="AZ137" s="904"/>
      <c r="BA137" s="904">
        <f t="shared" si="253"/>
        <v>0</v>
      </c>
      <c r="BB137" s="904">
        <f t="shared" si="253"/>
        <v>0</v>
      </c>
      <c r="BC137" s="884"/>
      <c r="BD137" s="899"/>
      <c r="BE137" s="899">
        <f t="shared" si="261"/>
        <v>0</v>
      </c>
      <c r="BF137" s="899">
        <f t="shared" si="261"/>
        <v>0</v>
      </c>
      <c r="BG137" s="891">
        <f t="shared" si="254"/>
        <v>0</v>
      </c>
      <c r="BH137" s="904">
        <f t="shared" si="255"/>
        <v>0</v>
      </c>
      <c r="BI137" s="906">
        <f t="shared" si="256"/>
        <v>0</v>
      </c>
      <c r="BJ137" s="905"/>
      <c r="BK137" s="874"/>
      <c r="BL137" s="884"/>
      <c r="BM137" s="899"/>
      <c r="BN137" s="899">
        <f t="shared" si="262"/>
        <v>0</v>
      </c>
      <c r="BO137" s="899">
        <f t="shared" si="262"/>
        <v>0</v>
      </c>
      <c r="BP137" s="884"/>
      <c r="BQ137" s="899"/>
      <c r="BR137" s="904">
        <f t="shared" si="257"/>
        <v>0</v>
      </c>
      <c r="BS137" s="906">
        <f t="shared" si="257"/>
        <v>0</v>
      </c>
      <c r="BT137" s="874"/>
      <c r="BU137" s="884"/>
      <c r="BV137" s="899"/>
      <c r="BW137" s="899">
        <f t="shared" si="263"/>
        <v>0</v>
      </c>
      <c r="BX137" s="899">
        <f t="shared" si="263"/>
        <v>0</v>
      </c>
      <c r="BY137" s="891"/>
      <c r="BZ137" s="904"/>
      <c r="CA137" s="904">
        <f t="shared" si="258"/>
        <v>0</v>
      </c>
      <c r="CB137" s="906">
        <f t="shared" si="258"/>
        <v>0</v>
      </c>
      <c r="CC137" s="874"/>
      <c r="CD137" s="874"/>
      <c r="CE137" s="874"/>
      <c r="CF137" s="874"/>
      <c r="CG137" s="874"/>
      <c r="CH137" s="874"/>
      <c r="CI137" s="874"/>
      <c r="CJ137" s="874"/>
      <c r="CK137" s="874"/>
      <c r="CL137" s="874"/>
      <c r="CM137" s="874"/>
      <c r="CN137" s="874"/>
      <c r="CO137" s="874"/>
      <c r="CP137" s="874"/>
      <c r="CQ137" s="874"/>
      <c r="CR137" s="874"/>
      <c r="CS137" s="874"/>
      <c r="CT137" s="874"/>
      <c r="CU137" s="874"/>
      <c r="CV137" s="874"/>
      <c r="CW137" s="874"/>
      <c r="CX137" s="874"/>
      <c r="CY137" s="874"/>
      <c r="CZ137" s="874"/>
      <c r="DA137" s="874"/>
      <c r="DB137" s="874"/>
      <c r="DC137" s="874"/>
      <c r="DD137" s="874"/>
      <c r="DE137" s="874"/>
      <c r="DF137" s="874"/>
      <c r="DG137" s="874"/>
      <c r="DH137" s="874"/>
      <c r="DI137" s="874"/>
      <c r="DJ137" s="874"/>
      <c r="DK137" s="874"/>
      <c r="DL137" s="874"/>
      <c r="DM137" s="874"/>
      <c r="DN137" s="874"/>
      <c r="DO137" s="874"/>
      <c r="DP137" s="874"/>
      <c r="DQ137" s="874"/>
      <c r="DR137" s="874"/>
      <c r="DS137" s="874"/>
      <c r="DT137" s="874"/>
      <c r="DU137" s="874"/>
      <c r="DV137" s="874"/>
      <c r="DW137" s="874"/>
      <c r="DX137" s="874"/>
      <c r="DY137" s="874"/>
      <c r="DZ137" s="874"/>
      <c r="EA137" s="874"/>
    </row>
    <row r="138" spans="1:131" ht="20.25" hidden="1" outlineLevel="1">
      <c r="A138" s="896" t="s">
        <v>702</v>
      </c>
      <c r="B138" s="884"/>
      <c r="C138" s="899"/>
      <c r="D138" s="917">
        <v>0</v>
      </c>
      <c r="E138" s="917">
        <v>0</v>
      </c>
      <c r="F138" s="886">
        <f t="shared" si="248"/>
        <v>0</v>
      </c>
      <c r="G138" s="884"/>
      <c r="H138" s="899"/>
      <c r="I138" s="917">
        <v>0</v>
      </c>
      <c r="J138" s="917">
        <v>0</v>
      </c>
      <c r="K138" s="886">
        <f t="shared" si="249"/>
        <v>0</v>
      </c>
      <c r="L138" s="884"/>
      <c r="M138" s="899"/>
      <c r="N138" s="917">
        <v>0</v>
      </c>
      <c r="O138" s="917">
        <v>0</v>
      </c>
      <c r="P138" s="887">
        <f t="shared" si="250"/>
        <v>0</v>
      </c>
      <c r="Q138" s="884"/>
      <c r="R138" s="918"/>
      <c r="S138" s="919"/>
      <c r="T138" s="884"/>
      <c r="U138" s="918"/>
      <c r="V138" s="919"/>
      <c r="W138" s="884"/>
      <c r="X138" s="899"/>
      <c r="Y138" s="899">
        <f t="shared" si="259"/>
        <v>0</v>
      </c>
      <c r="Z138" s="899">
        <f t="shared" si="259"/>
        <v>0</v>
      </c>
      <c r="AA138" s="886">
        <f t="shared" si="251"/>
        <v>0</v>
      </c>
      <c r="AB138" s="884"/>
      <c r="AC138" s="899"/>
      <c r="AD138" s="918"/>
      <c r="AE138" s="918"/>
      <c r="AF138" s="886">
        <f t="shared" si="252"/>
        <v>0</v>
      </c>
      <c r="AG138" s="884"/>
      <c r="AH138" s="918"/>
      <c r="AI138" s="919"/>
      <c r="AJ138" s="884"/>
      <c r="AK138" s="918"/>
      <c r="AL138" s="919"/>
      <c r="AM138" s="884"/>
      <c r="AN138" s="918"/>
      <c r="AO138" s="919"/>
      <c r="AP138" s="884"/>
      <c r="AQ138" s="918"/>
      <c r="AR138" s="919"/>
      <c r="AS138" s="903"/>
      <c r="AT138" s="874"/>
      <c r="AU138" s="884"/>
      <c r="AV138" s="899"/>
      <c r="AW138" s="899">
        <f t="shared" si="260"/>
        <v>0</v>
      </c>
      <c r="AX138" s="899">
        <f t="shared" si="260"/>
        <v>0</v>
      </c>
      <c r="AY138" s="891"/>
      <c r="AZ138" s="904"/>
      <c r="BA138" s="904">
        <f t="shared" si="253"/>
        <v>0</v>
      </c>
      <c r="BB138" s="904">
        <f t="shared" si="253"/>
        <v>0</v>
      </c>
      <c r="BC138" s="884"/>
      <c r="BD138" s="899"/>
      <c r="BE138" s="899">
        <f t="shared" si="261"/>
        <v>0</v>
      </c>
      <c r="BF138" s="899">
        <f t="shared" si="261"/>
        <v>0</v>
      </c>
      <c r="BG138" s="891">
        <f t="shared" si="254"/>
        <v>0</v>
      </c>
      <c r="BH138" s="904">
        <f t="shared" si="255"/>
        <v>0</v>
      </c>
      <c r="BI138" s="906">
        <f t="shared" si="256"/>
        <v>0</v>
      </c>
      <c r="BJ138" s="905"/>
      <c r="BK138" s="874"/>
      <c r="BL138" s="884"/>
      <c r="BM138" s="899"/>
      <c r="BN138" s="899">
        <f t="shared" si="262"/>
        <v>0</v>
      </c>
      <c r="BO138" s="899">
        <f t="shared" si="262"/>
        <v>0</v>
      </c>
      <c r="BP138" s="884"/>
      <c r="BQ138" s="899"/>
      <c r="BR138" s="904">
        <f t="shared" si="257"/>
        <v>0</v>
      </c>
      <c r="BS138" s="906">
        <f t="shared" si="257"/>
        <v>0</v>
      </c>
      <c r="BT138" s="874"/>
      <c r="BU138" s="884"/>
      <c r="BV138" s="899"/>
      <c r="BW138" s="899">
        <f t="shared" si="263"/>
        <v>0</v>
      </c>
      <c r="BX138" s="899">
        <f t="shared" si="263"/>
        <v>0</v>
      </c>
      <c r="BY138" s="891"/>
      <c r="BZ138" s="904"/>
      <c r="CA138" s="904">
        <f t="shared" si="258"/>
        <v>0</v>
      </c>
      <c r="CB138" s="906">
        <f t="shared" si="258"/>
        <v>0</v>
      </c>
      <c r="CC138" s="874"/>
      <c r="CD138" s="874"/>
      <c r="CE138" s="874"/>
      <c r="CF138" s="874"/>
      <c r="CG138" s="874"/>
      <c r="CH138" s="874"/>
      <c r="CI138" s="874"/>
      <c r="CJ138" s="874"/>
      <c r="CK138" s="874"/>
      <c r="CL138" s="874"/>
      <c r="CM138" s="874"/>
      <c r="CN138" s="874"/>
      <c r="CO138" s="874"/>
      <c r="CP138" s="874"/>
      <c r="CQ138" s="874"/>
      <c r="CR138" s="874"/>
      <c r="CS138" s="874"/>
      <c r="CT138" s="874"/>
      <c r="CU138" s="874"/>
      <c r="CV138" s="874"/>
      <c r="CW138" s="874"/>
      <c r="CX138" s="874"/>
      <c r="CY138" s="874"/>
      <c r="CZ138" s="874"/>
      <c r="DA138" s="874"/>
      <c r="DB138" s="874"/>
      <c r="DC138" s="874"/>
      <c r="DD138" s="874"/>
      <c r="DE138" s="874"/>
      <c r="DF138" s="874"/>
      <c r="DG138" s="874"/>
      <c r="DH138" s="874"/>
      <c r="DI138" s="874"/>
      <c r="DJ138" s="874"/>
      <c r="DK138" s="874"/>
      <c r="DL138" s="874"/>
      <c r="DM138" s="874"/>
      <c r="DN138" s="874"/>
      <c r="DO138" s="874"/>
      <c r="DP138" s="874"/>
      <c r="DQ138" s="874"/>
      <c r="DR138" s="874"/>
      <c r="DS138" s="874"/>
      <c r="DT138" s="874"/>
      <c r="DU138" s="874"/>
      <c r="DV138" s="874"/>
      <c r="DW138" s="874"/>
      <c r="DX138" s="874"/>
      <c r="DY138" s="874"/>
      <c r="DZ138" s="874"/>
      <c r="EA138" s="874"/>
    </row>
    <row r="139" spans="1:131" ht="20.25" hidden="1" outlineLevel="1">
      <c r="A139" s="896" t="s">
        <v>703</v>
      </c>
      <c r="B139" s="884"/>
      <c r="C139" s="899"/>
      <c r="D139" s="917">
        <v>0</v>
      </c>
      <c r="E139" s="917">
        <v>0</v>
      </c>
      <c r="F139" s="886">
        <f t="shared" si="248"/>
        <v>0</v>
      </c>
      <c r="G139" s="884"/>
      <c r="H139" s="899"/>
      <c r="I139" s="917">
        <v>0</v>
      </c>
      <c r="J139" s="917">
        <v>0</v>
      </c>
      <c r="K139" s="886">
        <f t="shared" si="249"/>
        <v>0</v>
      </c>
      <c r="L139" s="884"/>
      <c r="M139" s="899"/>
      <c r="N139" s="917">
        <v>0</v>
      </c>
      <c r="O139" s="917">
        <v>0</v>
      </c>
      <c r="P139" s="887">
        <f t="shared" si="250"/>
        <v>0</v>
      </c>
      <c r="Q139" s="884"/>
      <c r="R139" s="918"/>
      <c r="S139" s="919"/>
      <c r="T139" s="884"/>
      <c r="U139" s="918"/>
      <c r="V139" s="919"/>
      <c r="W139" s="884"/>
      <c r="X139" s="899"/>
      <c r="Y139" s="899">
        <f t="shared" si="259"/>
        <v>0</v>
      </c>
      <c r="Z139" s="899">
        <f t="shared" si="259"/>
        <v>0</v>
      </c>
      <c r="AA139" s="886">
        <f t="shared" si="251"/>
        <v>0</v>
      </c>
      <c r="AB139" s="884"/>
      <c r="AC139" s="899"/>
      <c r="AD139" s="918"/>
      <c r="AE139" s="918"/>
      <c r="AF139" s="886">
        <f t="shared" si="252"/>
        <v>0</v>
      </c>
      <c r="AG139" s="884"/>
      <c r="AH139" s="918"/>
      <c r="AI139" s="919"/>
      <c r="AJ139" s="884"/>
      <c r="AK139" s="918"/>
      <c r="AL139" s="919"/>
      <c r="AM139" s="884"/>
      <c r="AN139" s="918"/>
      <c r="AO139" s="919"/>
      <c r="AP139" s="884"/>
      <c r="AQ139" s="918"/>
      <c r="AR139" s="919"/>
      <c r="AS139" s="903"/>
      <c r="AT139" s="874"/>
      <c r="AU139" s="884"/>
      <c r="AV139" s="899"/>
      <c r="AW139" s="899">
        <f t="shared" si="260"/>
        <v>0</v>
      </c>
      <c r="AX139" s="899">
        <f t="shared" si="260"/>
        <v>0</v>
      </c>
      <c r="AY139" s="891"/>
      <c r="AZ139" s="904"/>
      <c r="BA139" s="904">
        <f t="shared" si="253"/>
        <v>0</v>
      </c>
      <c r="BB139" s="904">
        <f t="shared" si="253"/>
        <v>0</v>
      </c>
      <c r="BC139" s="884"/>
      <c r="BD139" s="899"/>
      <c r="BE139" s="899">
        <f t="shared" si="261"/>
        <v>0</v>
      </c>
      <c r="BF139" s="899">
        <f t="shared" si="261"/>
        <v>0</v>
      </c>
      <c r="BG139" s="891">
        <f t="shared" si="254"/>
        <v>0</v>
      </c>
      <c r="BH139" s="904">
        <f t="shared" si="255"/>
        <v>0</v>
      </c>
      <c r="BI139" s="906">
        <f t="shared" si="256"/>
        <v>0</v>
      </c>
      <c r="BJ139" s="905"/>
      <c r="BK139" s="874"/>
      <c r="BL139" s="884"/>
      <c r="BM139" s="899"/>
      <c r="BN139" s="899">
        <f t="shared" si="262"/>
        <v>0</v>
      </c>
      <c r="BO139" s="899">
        <f t="shared" si="262"/>
        <v>0</v>
      </c>
      <c r="BP139" s="884"/>
      <c r="BQ139" s="899"/>
      <c r="BR139" s="904">
        <f t="shared" si="257"/>
        <v>0</v>
      </c>
      <c r="BS139" s="906">
        <f t="shared" si="257"/>
        <v>0</v>
      </c>
      <c r="BT139" s="874"/>
      <c r="BU139" s="884"/>
      <c r="BV139" s="899"/>
      <c r="BW139" s="899">
        <f t="shared" si="263"/>
        <v>0</v>
      </c>
      <c r="BX139" s="899">
        <f t="shared" si="263"/>
        <v>0</v>
      </c>
      <c r="BY139" s="891"/>
      <c r="BZ139" s="904"/>
      <c r="CA139" s="904">
        <f t="shared" si="258"/>
        <v>0</v>
      </c>
      <c r="CB139" s="906">
        <f t="shared" si="258"/>
        <v>0</v>
      </c>
      <c r="CC139" s="874"/>
      <c r="CD139" s="874"/>
      <c r="CE139" s="874"/>
      <c r="CF139" s="874"/>
      <c r="CG139" s="874"/>
      <c r="CH139" s="874"/>
      <c r="CI139" s="874"/>
      <c r="CJ139" s="874"/>
      <c r="CK139" s="874"/>
      <c r="CL139" s="874"/>
      <c r="CM139" s="874"/>
      <c r="CN139" s="874"/>
      <c r="CO139" s="874"/>
      <c r="CP139" s="874"/>
      <c r="CQ139" s="874"/>
      <c r="CR139" s="874"/>
      <c r="CS139" s="874"/>
      <c r="CT139" s="874"/>
      <c r="CU139" s="874"/>
      <c r="CV139" s="874"/>
      <c r="CW139" s="874"/>
      <c r="CX139" s="874"/>
      <c r="CY139" s="874"/>
      <c r="CZ139" s="874"/>
      <c r="DA139" s="874"/>
      <c r="DB139" s="874"/>
      <c r="DC139" s="874"/>
      <c r="DD139" s="874"/>
      <c r="DE139" s="874"/>
      <c r="DF139" s="874"/>
      <c r="DG139" s="874"/>
      <c r="DH139" s="874"/>
      <c r="DI139" s="874"/>
      <c r="DJ139" s="874"/>
      <c r="DK139" s="874"/>
      <c r="DL139" s="874"/>
      <c r="DM139" s="874"/>
      <c r="DN139" s="874"/>
      <c r="DO139" s="874"/>
      <c r="DP139" s="874"/>
      <c r="DQ139" s="874"/>
      <c r="DR139" s="874"/>
      <c r="DS139" s="874"/>
      <c r="DT139" s="874"/>
      <c r="DU139" s="874"/>
      <c r="DV139" s="874"/>
      <c r="DW139" s="874"/>
      <c r="DX139" s="874"/>
      <c r="DY139" s="874"/>
      <c r="DZ139" s="874"/>
      <c r="EA139" s="874"/>
    </row>
    <row r="140" spans="1:131" ht="20.25" hidden="1" outlineLevel="1">
      <c r="A140" s="896" t="s">
        <v>704</v>
      </c>
      <c r="B140" s="884"/>
      <c r="C140" s="899"/>
      <c r="D140" s="917">
        <v>0</v>
      </c>
      <c r="E140" s="917">
        <v>0</v>
      </c>
      <c r="F140" s="886">
        <f t="shared" si="248"/>
        <v>0</v>
      </c>
      <c r="G140" s="884"/>
      <c r="H140" s="899"/>
      <c r="I140" s="917">
        <v>0</v>
      </c>
      <c r="J140" s="917">
        <v>0</v>
      </c>
      <c r="K140" s="886">
        <f t="shared" si="249"/>
        <v>0</v>
      </c>
      <c r="L140" s="884"/>
      <c r="M140" s="899"/>
      <c r="N140" s="917">
        <v>0</v>
      </c>
      <c r="O140" s="917">
        <v>0</v>
      </c>
      <c r="P140" s="887">
        <f t="shared" si="250"/>
        <v>0</v>
      </c>
      <c r="Q140" s="884"/>
      <c r="R140" s="918"/>
      <c r="S140" s="919"/>
      <c r="T140" s="884"/>
      <c r="U140" s="918"/>
      <c r="V140" s="919"/>
      <c r="W140" s="884"/>
      <c r="X140" s="899"/>
      <c r="Y140" s="899">
        <f t="shared" si="259"/>
        <v>0</v>
      </c>
      <c r="Z140" s="899">
        <f t="shared" si="259"/>
        <v>0</v>
      </c>
      <c r="AA140" s="886">
        <f t="shared" si="251"/>
        <v>0</v>
      </c>
      <c r="AB140" s="884"/>
      <c r="AC140" s="899"/>
      <c r="AD140" s="918"/>
      <c r="AE140" s="918"/>
      <c r="AF140" s="886">
        <f t="shared" si="252"/>
        <v>0</v>
      </c>
      <c r="AG140" s="884"/>
      <c r="AH140" s="918"/>
      <c r="AI140" s="919"/>
      <c r="AJ140" s="884"/>
      <c r="AK140" s="918"/>
      <c r="AL140" s="919"/>
      <c r="AM140" s="884"/>
      <c r="AN140" s="918"/>
      <c r="AO140" s="919"/>
      <c r="AP140" s="884"/>
      <c r="AQ140" s="918"/>
      <c r="AR140" s="919"/>
      <c r="AS140" s="903"/>
      <c r="AT140" s="874"/>
      <c r="AU140" s="884"/>
      <c r="AV140" s="899"/>
      <c r="AW140" s="899">
        <f t="shared" si="260"/>
        <v>0</v>
      </c>
      <c r="AX140" s="899">
        <f t="shared" si="260"/>
        <v>0</v>
      </c>
      <c r="AY140" s="891"/>
      <c r="AZ140" s="904"/>
      <c r="BA140" s="904">
        <f t="shared" si="253"/>
        <v>0</v>
      </c>
      <c r="BB140" s="904">
        <f t="shared" si="253"/>
        <v>0</v>
      </c>
      <c r="BC140" s="884"/>
      <c r="BD140" s="899"/>
      <c r="BE140" s="899">
        <f t="shared" si="261"/>
        <v>0</v>
      </c>
      <c r="BF140" s="899">
        <f t="shared" si="261"/>
        <v>0</v>
      </c>
      <c r="BG140" s="891">
        <f t="shared" si="254"/>
        <v>0</v>
      </c>
      <c r="BH140" s="904">
        <f t="shared" si="255"/>
        <v>0</v>
      </c>
      <c r="BI140" s="906">
        <f t="shared" si="256"/>
        <v>0</v>
      </c>
      <c r="BJ140" s="905"/>
      <c r="BK140" s="874"/>
      <c r="BL140" s="884"/>
      <c r="BM140" s="899"/>
      <c r="BN140" s="899">
        <f t="shared" si="262"/>
        <v>0</v>
      </c>
      <c r="BO140" s="899">
        <f t="shared" si="262"/>
        <v>0</v>
      </c>
      <c r="BP140" s="884"/>
      <c r="BQ140" s="899"/>
      <c r="BR140" s="904">
        <f t="shared" si="257"/>
        <v>0</v>
      </c>
      <c r="BS140" s="906">
        <f t="shared" si="257"/>
        <v>0</v>
      </c>
      <c r="BT140" s="874"/>
      <c r="BU140" s="884"/>
      <c r="BV140" s="899"/>
      <c r="BW140" s="899">
        <f t="shared" si="263"/>
        <v>0</v>
      </c>
      <c r="BX140" s="899">
        <f t="shared" si="263"/>
        <v>0</v>
      </c>
      <c r="BY140" s="891"/>
      <c r="BZ140" s="904"/>
      <c r="CA140" s="904">
        <f t="shared" si="258"/>
        <v>0</v>
      </c>
      <c r="CB140" s="906">
        <f t="shared" si="258"/>
        <v>0</v>
      </c>
      <c r="CC140" s="874"/>
      <c r="CD140" s="874"/>
      <c r="CE140" s="874"/>
      <c r="CF140" s="874"/>
      <c r="CG140" s="874"/>
      <c r="CH140" s="874"/>
      <c r="CI140" s="874"/>
      <c r="CJ140" s="874"/>
      <c r="CK140" s="874"/>
      <c r="CL140" s="874"/>
      <c r="CM140" s="874"/>
      <c r="CN140" s="874"/>
      <c r="CO140" s="874"/>
      <c r="CP140" s="874"/>
      <c r="CQ140" s="874"/>
      <c r="CR140" s="874"/>
      <c r="CS140" s="874"/>
      <c r="CT140" s="874"/>
      <c r="CU140" s="874"/>
      <c r="CV140" s="874"/>
      <c r="CW140" s="874"/>
      <c r="CX140" s="874"/>
      <c r="CY140" s="874"/>
      <c r="CZ140" s="874"/>
      <c r="DA140" s="874"/>
      <c r="DB140" s="874"/>
      <c r="DC140" s="874"/>
      <c r="DD140" s="874"/>
      <c r="DE140" s="874"/>
      <c r="DF140" s="874"/>
      <c r="DG140" s="874"/>
      <c r="DH140" s="874"/>
      <c r="DI140" s="874"/>
      <c r="DJ140" s="874"/>
      <c r="DK140" s="874"/>
      <c r="DL140" s="874"/>
      <c r="DM140" s="874"/>
      <c r="DN140" s="874"/>
      <c r="DO140" s="874"/>
      <c r="DP140" s="874"/>
      <c r="DQ140" s="874"/>
      <c r="DR140" s="874"/>
      <c r="DS140" s="874"/>
      <c r="DT140" s="874"/>
      <c r="DU140" s="874"/>
      <c r="DV140" s="874"/>
      <c r="DW140" s="874"/>
      <c r="DX140" s="874"/>
      <c r="DY140" s="874"/>
      <c r="DZ140" s="874"/>
      <c r="EA140" s="874"/>
    </row>
    <row r="141" spans="1:131" ht="20.25" hidden="1" outlineLevel="1">
      <c r="A141" s="897" t="s">
        <v>705</v>
      </c>
      <c r="B141" s="884"/>
      <c r="C141" s="899"/>
      <c r="D141" s="917">
        <v>0</v>
      </c>
      <c r="E141" s="917">
        <v>0</v>
      </c>
      <c r="F141" s="886">
        <f t="shared" si="248"/>
        <v>0</v>
      </c>
      <c r="G141" s="884"/>
      <c r="H141" s="899"/>
      <c r="I141" s="917">
        <v>0</v>
      </c>
      <c r="J141" s="917">
        <v>0</v>
      </c>
      <c r="K141" s="886">
        <f t="shared" si="249"/>
        <v>0</v>
      </c>
      <c r="L141" s="884"/>
      <c r="M141" s="899"/>
      <c r="N141" s="917">
        <v>0</v>
      </c>
      <c r="O141" s="917">
        <v>0</v>
      </c>
      <c r="P141" s="887">
        <f t="shared" si="250"/>
        <v>0</v>
      </c>
      <c r="Q141" s="884"/>
      <c r="R141" s="918"/>
      <c r="S141" s="919"/>
      <c r="T141" s="884"/>
      <c r="U141" s="918"/>
      <c r="V141" s="919"/>
      <c r="W141" s="884"/>
      <c r="X141" s="899"/>
      <c r="Y141" s="899">
        <f t="shared" si="259"/>
        <v>0</v>
      </c>
      <c r="Z141" s="899">
        <f t="shared" si="259"/>
        <v>0</v>
      </c>
      <c r="AA141" s="886">
        <f t="shared" si="251"/>
        <v>0</v>
      </c>
      <c r="AB141" s="884"/>
      <c r="AC141" s="899"/>
      <c r="AD141" s="918"/>
      <c r="AE141" s="918"/>
      <c r="AF141" s="886">
        <f t="shared" si="252"/>
        <v>0</v>
      </c>
      <c r="AG141" s="884"/>
      <c r="AH141" s="918"/>
      <c r="AI141" s="919"/>
      <c r="AJ141" s="884"/>
      <c r="AK141" s="918"/>
      <c r="AL141" s="919"/>
      <c r="AM141" s="884"/>
      <c r="AN141" s="918"/>
      <c r="AO141" s="919"/>
      <c r="AP141" s="884"/>
      <c r="AQ141" s="918"/>
      <c r="AR141" s="919"/>
      <c r="AS141" s="903"/>
      <c r="AT141" s="874"/>
      <c r="AU141" s="884"/>
      <c r="AV141" s="899"/>
      <c r="AW141" s="899">
        <f t="shared" si="260"/>
        <v>0</v>
      </c>
      <c r="AX141" s="899">
        <f t="shared" si="260"/>
        <v>0</v>
      </c>
      <c r="AY141" s="891"/>
      <c r="AZ141" s="904"/>
      <c r="BA141" s="904">
        <f t="shared" si="253"/>
        <v>0</v>
      </c>
      <c r="BB141" s="904">
        <f t="shared" si="253"/>
        <v>0</v>
      </c>
      <c r="BC141" s="884"/>
      <c r="BD141" s="899"/>
      <c r="BE141" s="899">
        <f t="shared" si="261"/>
        <v>0</v>
      </c>
      <c r="BF141" s="899">
        <f t="shared" si="261"/>
        <v>0</v>
      </c>
      <c r="BG141" s="891">
        <f t="shared" si="254"/>
        <v>0</v>
      </c>
      <c r="BH141" s="904">
        <f t="shared" si="255"/>
        <v>0</v>
      </c>
      <c r="BI141" s="906">
        <f t="shared" si="256"/>
        <v>0</v>
      </c>
      <c r="BJ141" s="905"/>
      <c r="BK141" s="874"/>
      <c r="BL141" s="884"/>
      <c r="BM141" s="899"/>
      <c r="BN141" s="899">
        <f t="shared" si="262"/>
        <v>0</v>
      </c>
      <c r="BO141" s="899">
        <f t="shared" si="262"/>
        <v>0</v>
      </c>
      <c r="BP141" s="884"/>
      <c r="BQ141" s="899"/>
      <c r="BR141" s="904">
        <f t="shared" si="257"/>
        <v>0</v>
      </c>
      <c r="BS141" s="906">
        <f t="shared" si="257"/>
        <v>0</v>
      </c>
      <c r="BT141" s="874"/>
      <c r="BU141" s="884"/>
      <c r="BV141" s="899"/>
      <c r="BW141" s="899">
        <f t="shared" si="263"/>
        <v>0</v>
      </c>
      <c r="BX141" s="899">
        <f t="shared" si="263"/>
        <v>0</v>
      </c>
      <c r="BY141" s="891"/>
      <c r="BZ141" s="904"/>
      <c r="CA141" s="904">
        <f t="shared" si="258"/>
        <v>0</v>
      </c>
      <c r="CB141" s="906">
        <f t="shared" si="258"/>
        <v>0</v>
      </c>
      <c r="CC141" s="874"/>
      <c r="CD141" s="874"/>
      <c r="CE141" s="874"/>
      <c r="CF141" s="874"/>
      <c r="CG141" s="874"/>
      <c r="CH141" s="874"/>
      <c r="CI141" s="874"/>
      <c r="CJ141" s="874"/>
      <c r="CK141" s="874"/>
      <c r="CL141" s="874"/>
      <c r="CM141" s="874"/>
      <c r="CN141" s="874"/>
      <c r="CO141" s="874"/>
      <c r="CP141" s="874"/>
      <c r="CQ141" s="874"/>
      <c r="CR141" s="874"/>
      <c r="CS141" s="874"/>
      <c r="CT141" s="874"/>
      <c r="CU141" s="874"/>
      <c r="CV141" s="874"/>
      <c r="CW141" s="874"/>
      <c r="CX141" s="874"/>
      <c r="CY141" s="874"/>
      <c r="CZ141" s="874"/>
      <c r="DA141" s="874"/>
      <c r="DB141" s="874"/>
      <c r="DC141" s="874"/>
      <c r="DD141" s="874"/>
      <c r="DE141" s="874"/>
      <c r="DF141" s="874"/>
      <c r="DG141" s="874"/>
      <c r="DH141" s="874"/>
      <c r="DI141" s="874"/>
      <c r="DJ141" s="874"/>
      <c r="DK141" s="874"/>
      <c r="DL141" s="874"/>
      <c r="DM141" s="874"/>
      <c r="DN141" s="874"/>
      <c r="DO141" s="874"/>
      <c r="DP141" s="874"/>
      <c r="DQ141" s="874"/>
      <c r="DR141" s="874"/>
      <c r="DS141" s="874"/>
      <c r="DT141" s="874"/>
      <c r="DU141" s="874"/>
      <c r="DV141" s="874"/>
      <c r="DW141" s="874"/>
      <c r="DX141" s="874"/>
      <c r="DY141" s="874"/>
      <c r="DZ141" s="874"/>
      <c r="EA141" s="874"/>
    </row>
    <row r="142" spans="1:131" ht="20.25" hidden="1" outlineLevel="1">
      <c r="A142" s="896" t="s">
        <v>706</v>
      </c>
      <c r="B142" s="884"/>
      <c r="C142" s="917">
        <v>0</v>
      </c>
      <c r="D142" s="899"/>
      <c r="E142" s="899"/>
      <c r="F142" s="902"/>
      <c r="G142" s="884"/>
      <c r="H142" s="917">
        <v>0</v>
      </c>
      <c r="I142" s="899"/>
      <c r="J142" s="899"/>
      <c r="K142" s="902"/>
      <c r="L142" s="884"/>
      <c r="M142" s="917">
        <f>H142</f>
        <v>0</v>
      </c>
      <c r="N142" s="899"/>
      <c r="O142" s="899"/>
      <c r="P142" s="907"/>
      <c r="Q142" s="920"/>
      <c r="R142" s="899"/>
      <c r="S142" s="902"/>
      <c r="T142" s="920"/>
      <c r="U142" s="899"/>
      <c r="V142" s="902"/>
      <c r="W142" s="884"/>
      <c r="X142" s="899">
        <f>M142+Q142-T142</f>
        <v>0</v>
      </c>
      <c r="Y142" s="899"/>
      <c r="Z142" s="899"/>
      <c r="AA142" s="902"/>
      <c r="AB142" s="884"/>
      <c r="AC142" s="918"/>
      <c r="AD142" s="899"/>
      <c r="AE142" s="899"/>
      <c r="AF142" s="902"/>
      <c r="AG142" s="920"/>
      <c r="AH142" s="899"/>
      <c r="AI142" s="902"/>
      <c r="AJ142" s="920"/>
      <c r="AK142" s="899"/>
      <c r="AL142" s="902"/>
      <c r="AM142" s="920"/>
      <c r="AN142" s="899"/>
      <c r="AO142" s="902"/>
      <c r="AP142" s="920"/>
      <c r="AQ142" s="899"/>
      <c r="AR142" s="902"/>
      <c r="AS142" s="903"/>
      <c r="AT142" s="874"/>
      <c r="AU142" s="884"/>
      <c r="AV142" s="899">
        <f>AC142-M142</f>
        <v>0</v>
      </c>
      <c r="AW142" s="899"/>
      <c r="AX142" s="899"/>
      <c r="AY142" s="891"/>
      <c r="AZ142" s="904">
        <f>IF(M142=0,0,AC142/M142*100)</f>
        <v>0</v>
      </c>
      <c r="BA142" s="904"/>
      <c r="BB142" s="904"/>
      <c r="BC142" s="884"/>
      <c r="BD142" s="899">
        <f>AC142-M142-AG142-AJ142-AM142-AP142</f>
        <v>0</v>
      </c>
      <c r="BE142" s="899"/>
      <c r="BF142" s="899"/>
      <c r="BG142" s="884"/>
      <c r="BH142" s="899"/>
      <c r="BI142" s="902"/>
      <c r="BJ142" s="905"/>
      <c r="BK142" s="874"/>
      <c r="BL142" s="884"/>
      <c r="BM142" s="899">
        <f>AC142-X142</f>
        <v>0</v>
      </c>
      <c r="BN142" s="899"/>
      <c r="BO142" s="899"/>
      <c r="BP142" s="884"/>
      <c r="BQ142" s="904">
        <f>IF(X142=0,0,AC142/X142*100)</f>
        <v>0</v>
      </c>
      <c r="BR142" s="899"/>
      <c r="BS142" s="902"/>
      <c r="BT142" s="874"/>
      <c r="BU142" s="884"/>
      <c r="BV142" s="899">
        <f>AC142-C142</f>
        <v>0</v>
      </c>
      <c r="BW142" s="899"/>
      <c r="BX142" s="899"/>
      <c r="BY142" s="891"/>
      <c r="BZ142" s="904">
        <f>IF(C142=0,0,AC142/C142*100)</f>
        <v>0</v>
      </c>
      <c r="CA142" s="904"/>
      <c r="CB142" s="906"/>
      <c r="CC142" s="874"/>
      <c r="CD142" s="874"/>
      <c r="CE142" s="874"/>
      <c r="CF142" s="874"/>
      <c r="CG142" s="874"/>
      <c r="CH142" s="874"/>
      <c r="CI142" s="874"/>
      <c r="CJ142" s="874"/>
      <c r="CK142" s="874"/>
      <c r="CL142" s="874"/>
      <c r="CM142" s="874"/>
      <c r="CN142" s="874"/>
      <c r="CO142" s="874"/>
      <c r="CP142" s="874"/>
      <c r="CQ142" s="874"/>
      <c r="CR142" s="874"/>
      <c r="CS142" s="874"/>
      <c r="CT142" s="874"/>
      <c r="CU142" s="874"/>
      <c r="CV142" s="874"/>
      <c r="CW142" s="874"/>
      <c r="CX142" s="874"/>
      <c r="CY142" s="874"/>
      <c r="CZ142" s="874"/>
      <c r="DA142" s="874"/>
      <c r="DB142" s="874"/>
      <c r="DC142" s="874"/>
      <c r="DD142" s="874"/>
      <c r="DE142" s="874"/>
      <c r="DF142" s="874"/>
      <c r="DG142" s="874"/>
      <c r="DH142" s="874"/>
      <c r="DI142" s="874"/>
      <c r="DJ142" s="874"/>
      <c r="DK142" s="874"/>
      <c r="DL142" s="874"/>
      <c r="DM142" s="874"/>
      <c r="DN142" s="874"/>
      <c r="DO142" s="874"/>
      <c r="DP142" s="874"/>
      <c r="DQ142" s="874"/>
      <c r="DR142" s="874"/>
      <c r="DS142" s="874"/>
      <c r="DT142" s="874"/>
      <c r="DU142" s="874"/>
      <c r="DV142" s="874"/>
      <c r="DW142" s="874"/>
      <c r="DX142" s="874"/>
      <c r="DY142" s="874"/>
      <c r="DZ142" s="874"/>
      <c r="EA142" s="874"/>
    </row>
    <row r="143" spans="1:131" ht="9" hidden="1" customHeight="1">
      <c r="A143" s="925"/>
      <c r="B143" s="884"/>
      <c r="C143" s="899"/>
      <c r="D143" s="899"/>
      <c r="E143" s="899"/>
      <c r="F143" s="902"/>
      <c r="G143" s="884"/>
      <c r="H143" s="899"/>
      <c r="I143" s="899"/>
      <c r="J143" s="899"/>
      <c r="K143" s="902"/>
      <c r="L143" s="884"/>
      <c r="M143" s="899"/>
      <c r="N143" s="899"/>
      <c r="O143" s="899"/>
      <c r="P143" s="907"/>
      <c r="Q143" s="884"/>
      <c r="R143" s="899"/>
      <c r="S143" s="902"/>
      <c r="T143" s="884"/>
      <c r="U143" s="899"/>
      <c r="V143" s="902"/>
      <c r="W143" s="884"/>
      <c r="X143" s="899"/>
      <c r="Y143" s="899"/>
      <c r="Z143" s="899"/>
      <c r="AA143" s="902"/>
      <c r="AB143" s="884"/>
      <c r="AC143" s="899"/>
      <c r="AD143" s="899"/>
      <c r="AE143" s="899"/>
      <c r="AF143" s="902"/>
      <c r="AG143" s="884"/>
      <c r="AH143" s="899"/>
      <c r="AI143" s="902"/>
      <c r="AJ143" s="884"/>
      <c r="AK143" s="899"/>
      <c r="AL143" s="902"/>
      <c r="AM143" s="884"/>
      <c r="AN143" s="899"/>
      <c r="AO143" s="902"/>
      <c r="AP143" s="884"/>
      <c r="AQ143" s="899"/>
      <c r="AR143" s="902"/>
      <c r="AS143" s="903"/>
      <c r="AT143" s="874"/>
      <c r="AU143" s="884"/>
      <c r="AV143" s="899"/>
      <c r="AW143" s="899"/>
      <c r="AX143" s="899"/>
      <c r="AY143" s="891"/>
      <c r="AZ143" s="904"/>
      <c r="BA143" s="904"/>
      <c r="BB143" s="904"/>
      <c r="BC143" s="884"/>
      <c r="BD143" s="899"/>
      <c r="BE143" s="899"/>
      <c r="BF143" s="899"/>
      <c r="BG143" s="884"/>
      <c r="BH143" s="899"/>
      <c r="BI143" s="902"/>
      <c r="BJ143" s="905"/>
      <c r="BK143" s="874"/>
      <c r="BL143" s="884"/>
      <c r="BM143" s="899"/>
      <c r="BN143" s="899"/>
      <c r="BO143" s="899"/>
      <c r="BP143" s="884"/>
      <c r="BQ143" s="899"/>
      <c r="BR143" s="899"/>
      <c r="BS143" s="902"/>
      <c r="BT143" s="874"/>
      <c r="BU143" s="884"/>
      <c r="BV143" s="899"/>
      <c r="BW143" s="899"/>
      <c r="BX143" s="899"/>
      <c r="BY143" s="891"/>
      <c r="BZ143" s="904"/>
      <c r="CA143" s="904"/>
      <c r="CB143" s="906"/>
      <c r="CC143" s="874"/>
      <c r="CD143" s="874"/>
      <c r="CE143" s="874"/>
      <c r="CF143" s="874"/>
      <c r="CG143" s="874"/>
      <c r="CH143" s="874"/>
      <c r="CI143" s="874"/>
      <c r="CJ143" s="874"/>
      <c r="CK143" s="874"/>
      <c r="CL143" s="874"/>
      <c r="CM143" s="874"/>
      <c r="CN143" s="874"/>
      <c r="CO143" s="874"/>
      <c r="CP143" s="874"/>
      <c r="CQ143" s="874"/>
      <c r="CR143" s="874"/>
      <c r="CS143" s="874"/>
      <c r="CT143" s="874"/>
      <c r="CU143" s="874"/>
      <c r="CV143" s="874"/>
      <c r="CW143" s="874"/>
      <c r="CX143" s="874"/>
      <c r="CY143" s="874"/>
      <c r="CZ143" s="874"/>
      <c r="DA143" s="874"/>
      <c r="DB143" s="874"/>
      <c r="DC143" s="874"/>
      <c r="DD143" s="874"/>
      <c r="DE143" s="874"/>
      <c r="DF143" s="874"/>
      <c r="DG143" s="874"/>
      <c r="DH143" s="874"/>
      <c r="DI143" s="874"/>
      <c r="DJ143" s="874"/>
      <c r="DK143" s="874"/>
      <c r="DL143" s="874"/>
      <c r="DM143" s="874"/>
      <c r="DN143" s="874"/>
      <c r="DO143" s="874"/>
      <c r="DP143" s="874"/>
      <c r="DQ143" s="874"/>
      <c r="DR143" s="874"/>
      <c r="DS143" s="874"/>
      <c r="DT143" s="874"/>
      <c r="DU143" s="874"/>
      <c r="DV143" s="874"/>
      <c r="DW143" s="874"/>
      <c r="DX143" s="874"/>
      <c r="DY143" s="874"/>
      <c r="DZ143" s="874"/>
      <c r="EA143" s="874"/>
    </row>
    <row r="144" spans="1:131" s="882" customFormat="1" ht="27.75" customHeight="1">
      <c r="A144" s="908" t="s">
        <v>718</v>
      </c>
      <c r="B144" s="888">
        <f>C144+D144</f>
        <v>710870141</v>
      </c>
      <c r="C144" s="909">
        <v>19772796</v>
      </c>
      <c r="D144" s="885">
        <f>SUM(D145:D146,D149:D150)</f>
        <v>691097345</v>
      </c>
      <c r="E144" s="885">
        <f>SUM(E145:E146,E149:E150)</f>
        <v>1998</v>
      </c>
      <c r="F144" s="886">
        <f t="shared" ref="F144:F150" si="264">IF(E144=0,0,ROUND(D144/E144/12,0))</f>
        <v>28825</v>
      </c>
      <c r="G144" s="888">
        <f>H144+I144</f>
        <v>670192020</v>
      </c>
      <c r="H144" s="909">
        <v>20065898</v>
      </c>
      <c r="I144" s="885">
        <f>SUM(I145:I146,I149:I150)</f>
        <v>650126122</v>
      </c>
      <c r="J144" s="885">
        <f>SUM(J145:J146,J149:J150)</f>
        <v>1930</v>
      </c>
      <c r="K144" s="886">
        <f t="shared" ref="K144:K150" si="265">IF(J144=0,0,ROUND(I144/J144/12,0))</f>
        <v>28071</v>
      </c>
      <c r="L144" s="888">
        <f>M144+N144</f>
        <v>782773747</v>
      </c>
      <c r="M144" s="909">
        <v>23477094</v>
      </c>
      <c r="N144" s="909">
        <f>SUM(N145:N146,N149:N150)+841202</f>
        <v>759296653</v>
      </c>
      <c r="O144" s="885">
        <f>SUM(O145:O146,O149:O150)</f>
        <v>2184</v>
      </c>
      <c r="P144" s="887">
        <f t="shared" ref="P144:P150" si="266">IF(O144=0,0,ROUND(N144/O144/12,0))</f>
        <v>28972</v>
      </c>
      <c r="Q144" s="910">
        <f>[6]LRZ!$J$25</f>
        <v>2350621</v>
      </c>
      <c r="R144" s="1035">
        <f>SUM(R145:R146,R149:R150)</f>
        <v>11491759.199999999</v>
      </c>
      <c r="S144" s="889">
        <f>SUM(S145:S146,S149:S150)</f>
        <v>0</v>
      </c>
      <c r="T144" s="910"/>
      <c r="U144" s="911">
        <f>SUM(U145:U146,U149:U150)</f>
        <v>0</v>
      </c>
      <c r="V144" s="889">
        <f>SUM(V145:V146,V149:V150)</f>
        <v>0</v>
      </c>
      <c r="W144" s="888">
        <f>X144+Y144</f>
        <v>796616127.20000005</v>
      </c>
      <c r="X144" s="885">
        <f>M144+Q144-T144</f>
        <v>25827715</v>
      </c>
      <c r="Y144" s="885">
        <f>SUM(Y145:Y146,Y149:Y150)+841202</f>
        <v>770788412.20000005</v>
      </c>
      <c r="Z144" s="885">
        <f>SUM(Z145:Z146,Z149:Z150)</f>
        <v>2184</v>
      </c>
      <c r="AA144" s="886">
        <f t="shared" ref="AA144:AA150" si="267">IF(Z144=0,0,ROUND(Y144/Z144/12,0))</f>
        <v>29410</v>
      </c>
      <c r="AB144" s="888">
        <f>AC144+AD144</f>
        <v>781246663.59000003</v>
      </c>
      <c r="AC144" s="911">
        <f>[7]LRZ!$F$25</f>
        <v>21913271</v>
      </c>
      <c r="AD144" s="913">
        <f>SUM(AD145:AD146,AD149:AD150)+667144</f>
        <v>759333392.59000003</v>
      </c>
      <c r="AE144" s="885">
        <f>SUM(AE145:AE146,AE149:AE150)</f>
        <v>2106</v>
      </c>
      <c r="AF144" s="886">
        <f t="shared" ref="AF144:AF150" si="268">IF(AE144=0,0,ROUND(AD144/AE144/12,0))</f>
        <v>30046</v>
      </c>
      <c r="AG144" s="910">
        <f>152099+1910079+46420+52223+189800</f>
        <v>2350621</v>
      </c>
      <c r="AH144" s="911">
        <f>SUM(AH145:AH146,AH149:AH150)</f>
        <v>11491759.199999999</v>
      </c>
      <c r="AI144" s="889">
        <f>SUM(AI145:AI146,AI149:AI150)</f>
        <v>0</v>
      </c>
      <c r="AJ144" s="910">
        <v>199700</v>
      </c>
      <c r="AK144" s="911">
        <f>SUM(AK145:AK146,AK149:AK150)</f>
        <v>0</v>
      </c>
      <c r="AL144" s="889">
        <f>SUM(AL145:AL146,AL149:AL150)</f>
        <v>0</v>
      </c>
      <c r="AM144" s="910"/>
      <c r="AN144" s="911">
        <f>SUM(AN145:AN146,AN149:AN150)</f>
        <v>0</v>
      </c>
      <c r="AO144" s="889">
        <f>SUM(AO145:AO146,AO149:AO150)</f>
        <v>0</v>
      </c>
      <c r="AP144" s="910"/>
      <c r="AQ144" s="911">
        <f>SUM(AQ145:AQ146,AQ149:AQ150)</f>
        <v>0</v>
      </c>
      <c r="AR144" s="889">
        <f>SUM(AR145:AR146,AR149:AR150)</f>
        <v>0</v>
      </c>
      <c r="AS144" s="890"/>
      <c r="AT144" s="874"/>
      <c r="AU144" s="888">
        <f>AV144+AW144</f>
        <v>-1353025.4099999666</v>
      </c>
      <c r="AV144" s="885">
        <f>AC144-M144</f>
        <v>-1563823</v>
      </c>
      <c r="AW144" s="885">
        <f>SUM(AW145:AW146,AW149:AW150)</f>
        <v>210797.59000003338</v>
      </c>
      <c r="AX144" s="885">
        <f>SUM(AX145:AX146,AX149:AX150)</f>
        <v>-78</v>
      </c>
      <c r="AY144" s="893">
        <f>IF(L144=0,0,AB144/L144*100)</f>
        <v>99.80491381885858</v>
      </c>
      <c r="AZ144" s="892">
        <f>IF(M144=0,0,AC144/M144*100)</f>
        <v>93.338941352792631</v>
      </c>
      <c r="BA144" s="892">
        <f>IF(N144=0,0,AD144/N144*100)</f>
        <v>100.00483863452511</v>
      </c>
      <c r="BB144" s="892">
        <f>IF(O144=0,0,AE144/O144*100)</f>
        <v>96.428571428571431</v>
      </c>
      <c r="BC144" s="888">
        <f>BD144+BE144</f>
        <v>-15395105.609999966</v>
      </c>
      <c r="BD144" s="885">
        <f>AC144-M144-AG144-AJ144-AM144-AP144</f>
        <v>-4114144</v>
      </c>
      <c r="BE144" s="885">
        <f>SUM(BE145:BE146,BE149:BE150)</f>
        <v>-11280961.609999966</v>
      </c>
      <c r="BF144" s="885">
        <f>SUM(BF145:BF146,BF149:BF150)</f>
        <v>-78</v>
      </c>
      <c r="BG144" s="893">
        <f t="shared" ref="BG144:BG150" si="269">IF(F144=0,0,AF144/F144*100)</f>
        <v>104.23590633130964</v>
      </c>
      <c r="BH144" s="892">
        <f t="shared" ref="BH144:BH150" si="270">IF(K144=0,0,AF144/K144*100)</f>
        <v>107.035730825407</v>
      </c>
      <c r="BI144" s="894">
        <f t="shared" ref="BI144:BI150" si="271">IF(P144=0,0,AF144/P144*100)</f>
        <v>103.70702747480325</v>
      </c>
      <c r="BJ144" s="895"/>
      <c r="BK144" s="874"/>
      <c r="BL144" s="888">
        <f>BM144+BN144</f>
        <v>-15195405.610000014</v>
      </c>
      <c r="BM144" s="885">
        <f>AC144-X144</f>
        <v>-3914444</v>
      </c>
      <c r="BN144" s="885">
        <f>SUM(BN145:BN146,BN149:BN150)</f>
        <v>-11280961.610000014</v>
      </c>
      <c r="BO144" s="885">
        <f>SUM(BO145:BO146,BO149:BO150)</f>
        <v>-78</v>
      </c>
      <c r="BP144" s="893">
        <f>IF(W144=0,0,AB144/W144*100)</f>
        <v>98.070656231374372</v>
      </c>
      <c r="BQ144" s="892">
        <f>IF(X144=0,0,AC144/X144*100)</f>
        <v>84.84401736661566</v>
      </c>
      <c r="BR144" s="892">
        <f>IF(Y144=0,0,AD144/Y144*100)</f>
        <v>98.513856795368156</v>
      </c>
      <c r="BS144" s="894">
        <f>IF(Z144=0,0,AE144/Z144*100)</f>
        <v>96.428571428571431</v>
      </c>
      <c r="BT144" s="874"/>
      <c r="BU144" s="888">
        <f>BV144+BW144</f>
        <v>69709378.590000033</v>
      </c>
      <c r="BV144" s="885">
        <f>AC144-C144</f>
        <v>2140475</v>
      </c>
      <c r="BW144" s="885">
        <f>SUM(BW145:BW146,BW149:BW150)</f>
        <v>67568903.590000033</v>
      </c>
      <c r="BX144" s="885">
        <f>SUM(BX145:BX146,BX149:BX150)</f>
        <v>108</v>
      </c>
      <c r="BY144" s="893">
        <f>IF(B144=0,0,AB144/B144*100)</f>
        <v>109.90005326303331</v>
      </c>
      <c r="BZ144" s="892">
        <f>IF(C144=0,0,AC144/C144*100)</f>
        <v>110.82535317716319</v>
      </c>
      <c r="CA144" s="892">
        <f>IF(D144=0,0,AD144/D144*100)</f>
        <v>109.8735797617628</v>
      </c>
      <c r="CB144" s="894">
        <f>IF(E144=0,0,AE144/E144*100)</f>
        <v>105.40540540540539</v>
      </c>
      <c r="CC144" s="874"/>
      <c r="CD144" s="874"/>
      <c r="CE144" s="874"/>
      <c r="CF144" s="874"/>
      <c r="CG144" s="874"/>
      <c r="CH144" s="874"/>
      <c r="CI144" s="874"/>
      <c r="CJ144" s="874"/>
      <c r="CK144" s="874"/>
      <c r="CL144" s="874"/>
      <c r="CM144" s="874"/>
      <c r="CN144" s="874"/>
      <c r="CO144" s="874"/>
      <c r="CP144" s="874"/>
      <c r="CQ144" s="874"/>
      <c r="CR144" s="874"/>
      <c r="CS144" s="874"/>
      <c r="CT144" s="874"/>
      <c r="CU144" s="874"/>
      <c r="CV144" s="874"/>
      <c r="CW144" s="874"/>
      <c r="CX144" s="874"/>
      <c r="CY144" s="874"/>
      <c r="CZ144" s="874"/>
      <c r="DA144" s="874"/>
      <c r="DB144" s="874"/>
      <c r="DC144" s="874"/>
      <c r="DD144" s="874"/>
      <c r="DE144" s="874"/>
      <c r="DF144" s="874"/>
      <c r="DG144" s="874"/>
      <c r="DH144" s="874"/>
      <c r="DI144" s="874"/>
      <c r="DJ144" s="874"/>
      <c r="DK144" s="874"/>
      <c r="DL144" s="874"/>
      <c r="DM144" s="874"/>
      <c r="DN144" s="874"/>
      <c r="DO144" s="874"/>
      <c r="DP144" s="874"/>
      <c r="DQ144" s="874"/>
      <c r="DR144" s="874"/>
      <c r="DS144" s="874"/>
      <c r="DT144" s="874"/>
      <c r="DU144" s="874"/>
      <c r="DV144" s="874"/>
      <c r="DW144" s="874"/>
      <c r="DX144" s="874"/>
      <c r="DY144" s="874"/>
      <c r="DZ144" s="874"/>
      <c r="EA144" s="874"/>
    </row>
    <row r="145" spans="1:131" s="850" customFormat="1" ht="20.25">
      <c r="A145" s="883" t="s">
        <v>700</v>
      </c>
      <c r="B145" s="884"/>
      <c r="C145" s="899"/>
      <c r="D145" s="909">
        <v>559820670</v>
      </c>
      <c r="E145" s="909">
        <v>1721</v>
      </c>
      <c r="F145" s="886">
        <f t="shared" si="264"/>
        <v>27107</v>
      </c>
      <c r="G145" s="884"/>
      <c r="H145" s="899"/>
      <c r="I145" s="909">
        <v>511562502</v>
      </c>
      <c r="J145" s="909">
        <v>1639</v>
      </c>
      <c r="K145" s="886">
        <f t="shared" si="265"/>
        <v>26010</v>
      </c>
      <c r="L145" s="884"/>
      <c r="M145" s="899"/>
      <c r="N145" s="909">
        <v>619999013</v>
      </c>
      <c r="O145" s="909">
        <v>1893</v>
      </c>
      <c r="P145" s="887">
        <f t="shared" si="266"/>
        <v>27293</v>
      </c>
      <c r="Q145" s="884"/>
      <c r="R145" s="911">
        <f>[6]LRZ!$I$26</f>
        <v>11043603.199999999</v>
      </c>
      <c r="S145" s="912"/>
      <c r="T145" s="884"/>
      <c r="U145" s="911"/>
      <c r="V145" s="912"/>
      <c r="W145" s="884"/>
      <c r="X145" s="899"/>
      <c r="Y145" s="885">
        <f t="shared" ref="Y145:Z150" si="272">N145+R145-U145</f>
        <v>631042616.20000005</v>
      </c>
      <c r="Z145" s="885">
        <f t="shared" si="272"/>
        <v>1893</v>
      </c>
      <c r="AA145" s="886">
        <f t="shared" si="267"/>
        <v>27780</v>
      </c>
      <c r="AB145" s="884"/>
      <c r="AC145" s="899"/>
      <c r="AD145" s="913">
        <f>[7]LRZ!$E$26+[7]LRZ!$E$28-667144</f>
        <v>620878463.59000003</v>
      </c>
      <c r="AE145" s="911">
        <f>'[7]HZS ČR'!$E$107+'[7]sportovní reprezentace'!$E$19+'[7]výdaje mv+oOSS'!$E$262+'[7]výdaje mv+oOSS'!$E$284+'[7]výdaje mv+oOSS'!$E$306+'[7]výdaje mv+oOSS'!$E$328+'[7]výdaje mv+oOSS'!$E$350+'[7]výdaje mv+oOSS'!$E$372+'[7]výdaje mv+oOSS'!$E$395</f>
        <v>1823</v>
      </c>
      <c r="AF145" s="886">
        <f t="shared" si="268"/>
        <v>28382</v>
      </c>
      <c r="AG145" s="884"/>
      <c r="AH145" s="911">
        <f>2773500+1864093.2+2714055+2696230+995725</f>
        <v>11043603.199999999</v>
      </c>
      <c r="AI145" s="912"/>
      <c r="AJ145" s="884"/>
      <c r="AK145" s="911"/>
      <c r="AL145" s="912"/>
      <c r="AM145" s="884"/>
      <c r="AN145" s="911"/>
      <c r="AO145" s="912"/>
      <c r="AP145" s="884"/>
      <c r="AQ145" s="911"/>
      <c r="AR145" s="912"/>
      <c r="AS145" s="890"/>
      <c r="AT145" s="874"/>
      <c r="AU145" s="884"/>
      <c r="AV145" s="899"/>
      <c r="AW145" s="885">
        <f t="shared" ref="AW145:AX150" si="273">AD145-N145</f>
        <v>879450.59000003338</v>
      </c>
      <c r="AX145" s="885">
        <f t="shared" si="273"/>
        <v>-70</v>
      </c>
      <c r="AY145" s="891"/>
      <c r="AZ145" s="904"/>
      <c r="BA145" s="892">
        <f t="shared" ref="BA145:BB150" si="274">IF(N145=0,0,AD145/N145*100)</f>
        <v>100.14184709516627</v>
      </c>
      <c r="BB145" s="892">
        <f t="shared" si="274"/>
        <v>96.302165874273641</v>
      </c>
      <c r="BC145" s="884"/>
      <c r="BD145" s="899"/>
      <c r="BE145" s="885">
        <f t="shared" ref="BE145:BF150" si="275">AD145-N145-AH145-AK145-AN145-AQ145</f>
        <v>-10164152.609999966</v>
      </c>
      <c r="BF145" s="885">
        <f t="shared" si="275"/>
        <v>-70</v>
      </c>
      <c r="BG145" s="893">
        <f t="shared" si="269"/>
        <v>104.70358210056443</v>
      </c>
      <c r="BH145" s="892">
        <f t="shared" si="270"/>
        <v>109.11956939638601</v>
      </c>
      <c r="BI145" s="894">
        <f t="shared" si="271"/>
        <v>103.99003407467116</v>
      </c>
      <c r="BJ145" s="895"/>
      <c r="BK145" s="874"/>
      <c r="BL145" s="884"/>
      <c r="BM145" s="899"/>
      <c r="BN145" s="885">
        <f t="shared" ref="BN145:BO150" si="276">AD145-Y145</f>
        <v>-10164152.610000014</v>
      </c>
      <c r="BO145" s="885">
        <f t="shared" si="276"/>
        <v>-70</v>
      </c>
      <c r="BP145" s="884"/>
      <c r="BQ145" s="899"/>
      <c r="BR145" s="892">
        <f t="shared" ref="BR145:BS150" si="277">IF(Y145=0,0,AD145/Y145*100)</f>
        <v>98.389308051616808</v>
      </c>
      <c r="BS145" s="894">
        <f t="shared" si="277"/>
        <v>96.302165874273641</v>
      </c>
      <c r="BT145" s="874"/>
      <c r="BU145" s="884"/>
      <c r="BV145" s="899"/>
      <c r="BW145" s="885">
        <f t="shared" ref="BW145:BX150" si="278">AD145-D145</f>
        <v>61057793.590000033</v>
      </c>
      <c r="BX145" s="885">
        <f t="shared" si="278"/>
        <v>102</v>
      </c>
      <c r="BY145" s="891"/>
      <c r="BZ145" s="904"/>
      <c r="CA145" s="892">
        <f t="shared" ref="CA145:CB150" si="279">IF(D145=0,0,AD145/D145*100)</f>
        <v>110.90667009312108</v>
      </c>
      <c r="CB145" s="894">
        <f t="shared" si="279"/>
        <v>105.92678675188844</v>
      </c>
      <c r="CC145" s="874"/>
      <c r="CD145" s="874"/>
      <c r="CE145" s="874"/>
      <c r="CF145" s="874"/>
      <c r="CG145" s="874"/>
      <c r="CH145" s="874"/>
      <c r="CI145" s="874"/>
      <c r="CJ145" s="874"/>
      <c r="CK145" s="874"/>
      <c r="CL145" s="874"/>
      <c r="CM145" s="874"/>
      <c r="CN145" s="874"/>
      <c r="CO145" s="874"/>
      <c r="CP145" s="874"/>
      <c r="CQ145" s="874"/>
      <c r="CR145" s="874"/>
      <c r="CS145" s="874"/>
      <c r="CT145" s="874"/>
      <c r="CU145" s="874"/>
      <c r="CV145" s="874"/>
      <c r="CW145" s="874"/>
      <c r="CX145" s="874"/>
      <c r="CY145" s="874"/>
      <c r="CZ145" s="874"/>
      <c r="DA145" s="874"/>
      <c r="DB145" s="874"/>
      <c r="DC145" s="874"/>
      <c r="DD145" s="874"/>
      <c r="DE145" s="874"/>
      <c r="DF145" s="874"/>
      <c r="DG145" s="874"/>
      <c r="DH145" s="874"/>
      <c r="DI145" s="874"/>
      <c r="DJ145" s="874"/>
      <c r="DK145" s="874"/>
      <c r="DL145" s="874"/>
      <c r="DM145" s="874"/>
      <c r="DN145" s="874"/>
      <c r="DO145" s="874"/>
      <c r="DP145" s="874"/>
      <c r="DQ145" s="874"/>
      <c r="DR145" s="874"/>
      <c r="DS145" s="874"/>
      <c r="DT145" s="874"/>
      <c r="DU145" s="874"/>
      <c r="DV145" s="874"/>
      <c r="DW145" s="874"/>
      <c r="DX145" s="874"/>
      <c r="DY145" s="874"/>
      <c r="DZ145" s="874"/>
      <c r="EA145" s="874"/>
    </row>
    <row r="146" spans="1:131" s="850" customFormat="1" ht="20.25">
      <c r="A146" s="896" t="s">
        <v>701</v>
      </c>
      <c r="B146" s="884"/>
      <c r="C146" s="899"/>
      <c r="D146" s="899">
        <v>131276675</v>
      </c>
      <c r="E146" s="899">
        <v>277</v>
      </c>
      <c r="F146" s="886">
        <f t="shared" si="264"/>
        <v>39494</v>
      </c>
      <c r="G146" s="884"/>
      <c r="H146" s="899"/>
      <c r="I146" s="899">
        <v>138563620</v>
      </c>
      <c r="J146" s="899">
        <v>291</v>
      </c>
      <c r="K146" s="886">
        <f t="shared" si="265"/>
        <v>39680</v>
      </c>
      <c r="L146" s="884"/>
      <c r="M146" s="899"/>
      <c r="N146" s="899">
        <v>138456438</v>
      </c>
      <c r="O146" s="899">
        <v>291</v>
      </c>
      <c r="P146" s="887">
        <f t="shared" si="266"/>
        <v>39650</v>
      </c>
      <c r="Q146" s="884"/>
      <c r="R146" s="923">
        <f>R147+R148</f>
        <v>448156</v>
      </c>
      <c r="S146" s="924">
        <f>S147+S148</f>
        <v>0</v>
      </c>
      <c r="T146" s="884"/>
      <c r="U146" s="923">
        <f>U147+U148</f>
        <v>0</v>
      </c>
      <c r="V146" s="924">
        <f>V147+V148</f>
        <v>0</v>
      </c>
      <c r="W146" s="884"/>
      <c r="X146" s="899"/>
      <c r="Y146" s="899">
        <f>Y147+Y148</f>
        <v>138904594</v>
      </c>
      <c r="Z146" s="899">
        <f>Z147+Z148</f>
        <v>291</v>
      </c>
      <c r="AA146" s="886">
        <f t="shared" si="267"/>
        <v>39778</v>
      </c>
      <c r="AB146" s="884"/>
      <c r="AC146" s="899"/>
      <c r="AD146" s="923">
        <f>AD147+AD148</f>
        <v>137787785</v>
      </c>
      <c r="AE146" s="923">
        <f>AE147+AE148</f>
        <v>283</v>
      </c>
      <c r="AF146" s="886">
        <f t="shared" si="268"/>
        <v>40574</v>
      </c>
      <c r="AG146" s="884"/>
      <c r="AH146" s="923">
        <f>AH147</f>
        <v>448156</v>
      </c>
      <c r="AI146" s="924">
        <f>AI147+AI148</f>
        <v>0</v>
      </c>
      <c r="AJ146" s="884"/>
      <c r="AK146" s="923">
        <f>AK147+AK148</f>
        <v>0</v>
      </c>
      <c r="AL146" s="924">
        <f>AL147+AL148</f>
        <v>0</v>
      </c>
      <c r="AM146" s="884"/>
      <c r="AN146" s="923">
        <f>AN147+AN148</f>
        <v>0</v>
      </c>
      <c r="AO146" s="924">
        <f>AO147+AO148</f>
        <v>0</v>
      </c>
      <c r="AP146" s="884"/>
      <c r="AQ146" s="923">
        <f>AQ147+AQ148</f>
        <v>0</v>
      </c>
      <c r="AR146" s="924">
        <f>AR147+AR148</f>
        <v>0</v>
      </c>
      <c r="AS146" s="903"/>
      <c r="AT146" s="874"/>
      <c r="AU146" s="884"/>
      <c r="AV146" s="899"/>
      <c r="AW146" s="899">
        <f t="shared" si="273"/>
        <v>-668653</v>
      </c>
      <c r="AX146" s="899">
        <f t="shared" si="273"/>
        <v>-8</v>
      </c>
      <c r="AY146" s="891"/>
      <c r="AZ146" s="904"/>
      <c r="BA146" s="904">
        <f t="shared" si="274"/>
        <v>99.517066154771356</v>
      </c>
      <c r="BB146" s="904">
        <f t="shared" si="274"/>
        <v>97.250859106529205</v>
      </c>
      <c r="BC146" s="884"/>
      <c r="BD146" s="899"/>
      <c r="BE146" s="899">
        <f t="shared" si="275"/>
        <v>-1116809</v>
      </c>
      <c r="BF146" s="899">
        <f t="shared" si="275"/>
        <v>-8</v>
      </c>
      <c r="BG146" s="891">
        <f t="shared" si="269"/>
        <v>102.73459259634375</v>
      </c>
      <c r="BH146" s="904">
        <f t="shared" si="270"/>
        <v>102.25302419354838</v>
      </c>
      <c r="BI146" s="906">
        <f t="shared" si="271"/>
        <v>102.33039092055485</v>
      </c>
      <c r="BJ146" s="905"/>
      <c r="BK146" s="874"/>
      <c r="BL146" s="884"/>
      <c r="BM146" s="899"/>
      <c r="BN146" s="899">
        <f t="shared" si="276"/>
        <v>-1116809</v>
      </c>
      <c r="BO146" s="899">
        <f t="shared" si="276"/>
        <v>-8</v>
      </c>
      <c r="BP146" s="884"/>
      <c r="BQ146" s="899"/>
      <c r="BR146" s="904">
        <f t="shared" si="277"/>
        <v>99.195988435054929</v>
      </c>
      <c r="BS146" s="906">
        <f t="shared" si="277"/>
        <v>97.250859106529205</v>
      </c>
      <c r="BT146" s="874"/>
      <c r="BU146" s="884"/>
      <c r="BV146" s="899"/>
      <c r="BW146" s="899">
        <f t="shared" si="278"/>
        <v>6511110</v>
      </c>
      <c r="BX146" s="899">
        <f t="shared" si="278"/>
        <v>6</v>
      </c>
      <c r="BY146" s="891"/>
      <c r="BZ146" s="904"/>
      <c r="CA146" s="904">
        <f t="shared" si="279"/>
        <v>104.95983768632166</v>
      </c>
      <c r="CB146" s="906">
        <f t="shared" si="279"/>
        <v>102.16606498194946</v>
      </c>
      <c r="CC146" s="874"/>
      <c r="CD146" s="874"/>
      <c r="CE146" s="874"/>
      <c r="CF146" s="874"/>
      <c r="CG146" s="874"/>
      <c r="CH146" s="874"/>
      <c r="CI146" s="874"/>
      <c r="CJ146" s="874"/>
      <c r="CK146" s="874"/>
      <c r="CL146" s="874"/>
      <c r="CM146" s="874"/>
      <c r="CN146" s="874"/>
      <c r="CO146" s="874"/>
      <c r="CP146" s="874"/>
      <c r="CQ146" s="874"/>
      <c r="CR146" s="874"/>
      <c r="CS146" s="874"/>
      <c r="CT146" s="874"/>
      <c r="CU146" s="874"/>
      <c r="CV146" s="874"/>
      <c r="CW146" s="874"/>
      <c r="CX146" s="874"/>
      <c r="CY146" s="874"/>
      <c r="CZ146" s="874"/>
      <c r="DA146" s="874"/>
      <c r="DB146" s="874"/>
      <c r="DC146" s="874"/>
      <c r="DD146" s="874"/>
      <c r="DE146" s="874"/>
      <c r="DF146" s="874"/>
      <c r="DG146" s="874"/>
      <c r="DH146" s="874"/>
      <c r="DI146" s="874"/>
      <c r="DJ146" s="874"/>
      <c r="DK146" s="874"/>
      <c r="DL146" s="874"/>
      <c r="DM146" s="874"/>
      <c r="DN146" s="874"/>
      <c r="DO146" s="874"/>
      <c r="DP146" s="874"/>
      <c r="DQ146" s="874"/>
      <c r="DR146" s="874"/>
      <c r="DS146" s="874"/>
      <c r="DT146" s="874"/>
      <c r="DU146" s="874"/>
      <c r="DV146" s="874"/>
      <c r="DW146" s="874"/>
      <c r="DX146" s="874"/>
      <c r="DY146" s="874"/>
      <c r="DZ146" s="874"/>
      <c r="EA146" s="874"/>
    </row>
    <row r="147" spans="1:131" ht="20.25" outlineLevel="1">
      <c r="A147" s="896" t="s">
        <v>702</v>
      </c>
      <c r="B147" s="884"/>
      <c r="C147" s="899"/>
      <c r="D147" s="917">
        <v>123116862</v>
      </c>
      <c r="E147" s="917">
        <v>259</v>
      </c>
      <c r="F147" s="886">
        <f t="shared" si="264"/>
        <v>39613</v>
      </c>
      <c r="G147" s="884"/>
      <c r="H147" s="899"/>
      <c r="I147" s="917">
        <v>130167191</v>
      </c>
      <c r="J147" s="917">
        <v>272</v>
      </c>
      <c r="K147" s="886">
        <f t="shared" si="265"/>
        <v>39880</v>
      </c>
      <c r="L147" s="884"/>
      <c r="M147" s="899"/>
      <c r="N147" s="917">
        <v>130018027</v>
      </c>
      <c r="O147" s="917">
        <v>272</v>
      </c>
      <c r="P147" s="887">
        <f t="shared" si="266"/>
        <v>39834</v>
      </c>
      <c r="Q147" s="884"/>
      <c r="R147" s="918">
        <f>[6]LRZ!$I$27</f>
        <v>448156</v>
      </c>
      <c r="S147" s="919"/>
      <c r="T147" s="884"/>
      <c r="U147" s="918"/>
      <c r="V147" s="919"/>
      <c r="W147" s="884"/>
      <c r="X147" s="899"/>
      <c r="Y147" s="899">
        <f t="shared" si="272"/>
        <v>130466183</v>
      </c>
      <c r="Z147" s="899">
        <f t="shared" si="272"/>
        <v>272</v>
      </c>
      <c r="AA147" s="886">
        <f t="shared" si="267"/>
        <v>39971</v>
      </c>
      <c r="AB147" s="884"/>
      <c r="AC147" s="899"/>
      <c r="AD147" s="918">
        <f>[7]LRZ!$E$27-AD148</f>
        <v>129349374</v>
      </c>
      <c r="AE147" s="918">
        <f>'[7]výdaje mv+oOSS'!$E$261+'[7]výdaje mv+oOSS'!$E$283+'[7]výdaje mv+oOSS'!$E$305+'[7]výdaje mv+oOSS'!$E$327</f>
        <v>264</v>
      </c>
      <c r="AF147" s="886">
        <f t="shared" si="268"/>
        <v>40830</v>
      </c>
      <c r="AG147" s="884"/>
      <c r="AH147" s="918">
        <f>224720+223436</f>
        <v>448156</v>
      </c>
      <c r="AI147" s="919"/>
      <c r="AJ147" s="884"/>
      <c r="AK147" s="918"/>
      <c r="AL147" s="919"/>
      <c r="AM147" s="884"/>
      <c r="AN147" s="918"/>
      <c r="AO147" s="919"/>
      <c r="AP147" s="884"/>
      <c r="AQ147" s="918"/>
      <c r="AR147" s="919"/>
      <c r="AS147" s="903"/>
      <c r="AT147" s="874"/>
      <c r="AU147" s="884"/>
      <c r="AV147" s="899"/>
      <c r="AW147" s="899">
        <f t="shared" si="273"/>
        <v>-668653</v>
      </c>
      <c r="AX147" s="899">
        <f t="shared" si="273"/>
        <v>-8</v>
      </c>
      <c r="AY147" s="891"/>
      <c r="AZ147" s="904"/>
      <c r="BA147" s="904">
        <f t="shared" si="274"/>
        <v>99.485722852877927</v>
      </c>
      <c r="BB147" s="904">
        <f t="shared" si="274"/>
        <v>97.058823529411768</v>
      </c>
      <c r="BC147" s="884"/>
      <c r="BD147" s="899"/>
      <c r="BE147" s="899">
        <f t="shared" si="275"/>
        <v>-1116809</v>
      </c>
      <c r="BF147" s="899">
        <f t="shared" si="275"/>
        <v>-8</v>
      </c>
      <c r="BG147" s="891">
        <f t="shared" si="269"/>
        <v>103.07222376492567</v>
      </c>
      <c r="BH147" s="904">
        <f t="shared" si="270"/>
        <v>102.38214643931795</v>
      </c>
      <c r="BI147" s="906">
        <f t="shared" si="271"/>
        <v>102.50037656273537</v>
      </c>
      <c r="BJ147" s="905"/>
      <c r="BK147" s="874"/>
      <c r="BL147" s="884"/>
      <c r="BM147" s="899"/>
      <c r="BN147" s="899">
        <f t="shared" si="276"/>
        <v>-1116809</v>
      </c>
      <c r="BO147" s="899">
        <f t="shared" si="276"/>
        <v>-8</v>
      </c>
      <c r="BP147" s="884"/>
      <c r="BQ147" s="899"/>
      <c r="BR147" s="904">
        <f t="shared" si="277"/>
        <v>99.143985840376729</v>
      </c>
      <c r="BS147" s="906">
        <f t="shared" si="277"/>
        <v>97.058823529411768</v>
      </c>
      <c r="BT147" s="874"/>
      <c r="BU147" s="884"/>
      <c r="BV147" s="899"/>
      <c r="BW147" s="899">
        <f t="shared" si="278"/>
        <v>6232512</v>
      </c>
      <c r="BX147" s="899">
        <f t="shared" si="278"/>
        <v>5</v>
      </c>
      <c r="BY147" s="891"/>
      <c r="BZ147" s="904"/>
      <c r="CA147" s="904">
        <f t="shared" si="279"/>
        <v>105.06227327333929</v>
      </c>
      <c r="CB147" s="906">
        <f t="shared" si="279"/>
        <v>101.93050193050193</v>
      </c>
      <c r="CC147" s="874"/>
      <c r="CD147" s="874"/>
      <c r="CE147" s="874"/>
      <c r="CF147" s="874"/>
      <c r="CG147" s="874"/>
      <c r="CH147" s="874"/>
      <c r="CI147" s="874"/>
      <c r="CJ147" s="874"/>
      <c r="CK147" s="874"/>
      <c r="CL147" s="874"/>
      <c r="CM147" s="874"/>
      <c r="CN147" s="874"/>
      <c r="CO147" s="874"/>
      <c r="CP147" s="874"/>
      <c r="CQ147" s="874"/>
      <c r="CR147" s="874"/>
      <c r="CS147" s="874"/>
      <c r="CT147" s="874"/>
      <c r="CU147" s="874"/>
      <c r="CV147" s="874"/>
      <c r="CW147" s="874"/>
      <c r="CX147" s="874"/>
      <c r="CY147" s="874"/>
      <c r="CZ147" s="874"/>
      <c r="DA147" s="874"/>
      <c r="DB147" s="874"/>
      <c r="DC147" s="874"/>
      <c r="DD147" s="874"/>
      <c r="DE147" s="874"/>
      <c r="DF147" s="874"/>
      <c r="DG147" s="874"/>
      <c r="DH147" s="874"/>
      <c r="DI147" s="874"/>
      <c r="DJ147" s="874"/>
      <c r="DK147" s="874"/>
      <c r="DL147" s="874"/>
      <c r="DM147" s="874"/>
      <c r="DN147" s="874"/>
      <c r="DO147" s="874"/>
      <c r="DP147" s="874"/>
      <c r="DQ147" s="874"/>
      <c r="DR147" s="874"/>
      <c r="DS147" s="874"/>
      <c r="DT147" s="874"/>
      <c r="DU147" s="874"/>
      <c r="DV147" s="874"/>
      <c r="DW147" s="874"/>
      <c r="DX147" s="874"/>
      <c r="DY147" s="874"/>
      <c r="DZ147" s="874"/>
      <c r="EA147" s="874"/>
    </row>
    <row r="148" spans="1:131" ht="20.25" outlineLevel="1">
      <c r="A148" s="896" t="s">
        <v>703</v>
      </c>
      <c r="B148" s="884"/>
      <c r="C148" s="899"/>
      <c r="D148" s="917">
        <v>8159813</v>
      </c>
      <c r="E148" s="917">
        <v>18</v>
      </c>
      <c r="F148" s="886">
        <f t="shared" si="264"/>
        <v>37777</v>
      </c>
      <c r="G148" s="884"/>
      <c r="H148" s="899"/>
      <c r="I148" s="917">
        <v>8396429</v>
      </c>
      <c r="J148" s="917">
        <v>19</v>
      </c>
      <c r="K148" s="886">
        <f t="shared" si="265"/>
        <v>36826</v>
      </c>
      <c r="L148" s="884"/>
      <c r="M148" s="899"/>
      <c r="N148" s="917">
        <v>8438411</v>
      </c>
      <c r="O148" s="917">
        <v>19</v>
      </c>
      <c r="P148" s="887">
        <f t="shared" si="266"/>
        <v>37011</v>
      </c>
      <c r="Q148" s="884"/>
      <c r="R148" s="918">
        <v>0</v>
      </c>
      <c r="S148" s="919"/>
      <c r="T148" s="884"/>
      <c r="U148" s="918"/>
      <c r="V148" s="919"/>
      <c r="W148" s="884"/>
      <c r="X148" s="899"/>
      <c r="Y148" s="899">
        <f t="shared" si="272"/>
        <v>8438411</v>
      </c>
      <c r="Z148" s="899">
        <f t="shared" si="272"/>
        <v>19</v>
      </c>
      <c r="AA148" s="886">
        <f t="shared" si="267"/>
        <v>37011</v>
      </c>
      <c r="AB148" s="884"/>
      <c r="AC148" s="899"/>
      <c r="AD148" s="918">
        <f>'[7]HZS ČR'!$E$97</f>
        <v>8438411</v>
      </c>
      <c r="AE148" s="918">
        <f>'[7]HZS ČR'!$E$106</f>
        <v>19</v>
      </c>
      <c r="AF148" s="886">
        <f t="shared" si="268"/>
        <v>37011</v>
      </c>
      <c r="AG148" s="884"/>
      <c r="AH148" s="918"/>
      <c r="AI148" s="919"/>
      <c r="AJ148" s="884"/>
      <c r="AK148" s="918"/>
      <c r="AL148" s="919"/>
      <c r="AM148" s="884"/>
      <c r="AN148" s="918"/>
      <c r="AO148" s="919"/>
      <c r="AP148" s="884"/>
      <c r="AQ148" s="918"/>
      <c r="AR148" s="919"/>
      <c r="AS148" s="903"/>
      <c r="AT148" s="874"/>
      <c r="AU148" s="884"/>
      <c r="AV148" s="899"/>
      <c r="AW148" s="899">
        <f t="shared" si="273"/>
        <v>0</v>
      </c>
      <c r="AX148" s="899">
        <f t="shared" si="273"/>
        <v>0</v>
      </c>
      <c r="AY148" s="891"/>
      <c r="AZ148" s="904"/>
      <c r="BA148" s="904">
        <f t="shared" si="274"/>
        <v>100</v>
      </c>
      <c r="BB148" s="904">
        <f t="shared" si="274"/>
        <v>100</v>
      </c>
      <c r="BC148" s="884"/>
      <c r="BD148" s="899"/>
      <c r="BE148" s="899">
        <f t="shared" si="275"/>
        <v>0</v>
      </c>
      <c r="BF148" s="899">
        <f t="shared" si="275"/>
        <v>0</v>
      </c>
      <c r="BG148" s="891">
        <f t="shared" si="269"/>
        <v>97.972311194642245</v>
      </c>
      <c r="BH148" s="904">
        <f t="shared" si="270"/>
        <v>100.5023624613045</v>
      </c>
      <c r="BI148" s="906">
        <f t="shared" si="271"/>
        <v>100</v>
      </c>
      <c r="BJ148" s="905"/>
      <c r="BK148" s="874"/>
      <c r="BL148" s="884"/>
      <c r="BM148" s="899"/>
      <c r="BN148" s="899">
        <f t="shared" si="276"/>
        <v>0</v>
      </c>
      <c r="BO148" s="899">
        <f t="shared" si="276"/>
        <v>0</v>
      </c>
      <c r="BP148" s="884"/>
      <c r="BQ148" s="899"/>
      <c r="BR148" s="904">
        <f t="shared" si="277"/>
        <v>100</v>
      </c>
      <c r="BS148" s="906">
        <f t="shared" si="277"/>
        <v>100</v>
      </c>
      <c r="BT148" s="874"/>
      <c r="BU148" s="884"/>
      <c r="BV148" s="899"/>
      <c r="BW148" s="899">
        <f t="shared" si="278"/>
        <v>278598</v>
      </c>
      <c r="BX148" s="899">
        <f t="shared" si="278"/>
        <v>1</v>
      </c>
      <c r="BY148" s="891"/>
      <c r="BZ148" s="904"/>
      <c r="CA148" s="904">
        <f t="shared" si="279"/>
        <v>103.41426942014481</v>
      </c>
      <c r="CB148" s="906">
        <f t="shared" si="279"/>
        <v>105.55555555555556</v>
      </c>
      <c r="CC148" s="874"/>
      <c r="CD148" s="874"/>
      <c r="CE148" s="874"/>
      <c r="CF148" s="874"/>
      <c r="CG148" s="874"/>
      <c r="CH148" s="874"/>
      <c r="CI148" s="874"/>
      <c r="CJ148" s="874"/>
      <c r="CK148" s="874"/>
      <c r="CL148" s="874"/>
      <c r="CM148" s="874"/>
      <c r="CN148" s="874"/>
      <c r="CO148" s="874"/>
      <c r="CP148" s="874"/>
      <c r="CQ148" s="874"/>
      <c r="CR148" s="874"/>
      <c r="CS148" s="874"/>
      <c r="CT148" s="874"/>
      <c r="CU148" s="874"/>
      <c r="CV148" s="874"/>
      <c r="CW148" s="874"/>
      <c r="CX148" s="874"/>
      <c r="CY148" s="874"/>
      <c r="CZ148" s="874"/>
      <c r="DA148" s="874"/>
      <c r="DB148" s="874"/>
      <c r="DC148" s="874"/>
      <c r="DD148" s="874"/>
      <c r="DE148" s="874"/>
      <c r="DF148" s="874"/>
      <c r="DG148" s="874"/>
      <c r="DH148" s="874"/>
      <c r="DI148" s="874"/>
      <c r="DJ148" s="874"/>
      <c r="DK148" s="874"/>
      <c r="DL148" s="874"/>
      <c r="DM148" s="874"/>
      <c r="DN148" s="874"/>
      <c r="DO148" s="874"/>
      <c r="DP148" s="874"/>
      <c r="DQ148" s="874"/>
      <c r="DR148" s="874"/>
      <c r="DS148" s="874"/>
      <c r="DT148" s="874"/>
      <c r="DU148" s="874"/>
      <c r="DV148" s="874"/>
      <c r="DW148" s="874"/>
      <c r="DX148" s="874"/>
      <c r="DY148" s="874"/>
      <c r="DZ148" s="874"/>
      <c r="EA148" s="874"/>
    </row>
    <row r="149" spans="1:131" ht="21" outlineLevel="1" thickBot="1">
      <c r="A149" s="896" t="s">
        <v>704</v>
      </c>
      <c r="B149" s="884"/>
      <c r="C149" s="899"/>
      <c r="D149" s="917">
        <v>0</v>
      </c>
      <c r="E149" s="917">
        <v>0</v>
      </c>
      <c r="F149" s="886">
        <f t="shared" si="264"/>
        <v>0</v>
      </c>
      <c r="G149" s="884"/>
      <c r="H149" s="899"/>
      <c r="I149" s="917">
        <v>0</v>
      </c>
      <c r="J149" s="917">
        <v>0</v>
      </c>
      <c r="K149" s="886">
        <f t="shared" si="265"/>
        <v>0</v>
      </c>
      <c r="L149" s="884"/>
      <c r="M149" s="899"/>
      <c r="N149" s="917">
        <v>0</v>
      </c>
      <c r="O149" s="917">
        <v>0</v>
      </c>
      <c r="P149" s="887">
        <f t="shared" si="266"/>
        <v>0</v>
      </c>
      <c r="Q149" s="884"/>
      <c r="R149" s="918"/>
      <c r="S149" s="919"/>
      <c r="T149" s="884"/>
      <c r="U149" s="918"/>
      <c r="V149" s="919"/>
      <c r="W149" s="884"/>
      <c r="X149" s="899"/>
      <c r="Y149" s="899">
        <f t="shared" si="272"/>
        <v>0</v>
      </c>
      <c r="Z149" s="899">
        <f t="shared" si="272"/>
        <v>0</v>
      </c>
      <c r="AA149" s="886">
        <f t="shared" si="267"/>
        <v>0</v>
      </c>
      <c r="AB149" s="884"/>
      <c r="AC149" s="899"/>
      <c r="AD149" s="918">
        <v>0</v>
      </c>
      <c r="AE149" s="918"/>
      <c r="AF149" s="886">
        <f t="shared" si="268"/>
        <v>0</v>
      </c>
      <c r="AG149" s="884"/>
      <c r="AH149" s="918"/>
      <c r="AI149" s="919"/>
      <c r="AJ149" s="884"/>
      <c r="AK149" s="918"/>
      <c r="AL149" s="919"/>
      <c r="AM149" s="884"/>
      <c r="AN149" s="918"/>
      <c r="AO149" s="919"/>
      <c r="AP149" s="884"/>
      <c r="AQ149" s="918"/>
      <c r="AR149" s="919"/>
      <c r="AS149" s="903"/>
      <c r="AT149" s="874"/>
      <c r="AU149" s="884"/>
      <c r="AV149" s="899"/>
      <c r="AW149" s="899">
        <f t="shared" si="273"/>
        <v>0</v>
      </c>
      <c r="AX149" s="899">
        <f t="shared" si="273"/>
        <v>0</v>
      </c>
      <c r="AY149" s="891"/>
      <c r="AZ149" s="904"/>
      <c r="BA149" s="904">
        <f t="shared" si="274"/>
        <v>0</v>
      </c>
      <c r="BB149" s="904">
        <f t="shared" si="274"/>
        <v>0</v>
      </c>
      <c r="BC149" s="884"/>
      <c r="BD149" s="899"/>
      <c r="BE149" s="899">
        <f t="shared" si="275"/>
        <v>0</v>
      </c>
      <c r="BF149" s="899">
        <f t="shared" si="275"/>
        <v>0</v>
      </c>
      <c r="BG149" s="891">
        <f t="shared" si="269"/>
        <v>0</v>
      </c>
      <c r="BH149" s="904">
        <f t="shared" si="270"/>
        <v>0</v>
      </c>
      <c r="BI149" s="906">
        <f t="shared" si="271"/>
        <v>0</v>
      </c>
      <c r="BJ149" s="905"/>
      <c r="BK149" s="874"/>
      <c r="BL149" s="884"/>
      <c r="BM149" s="899"/>
      <c r="BN149" s="899">
        <f t="shared" si="276"/>
        <v>0</v>
      </c>
      <c r="BO149" s="899">
        <f t="shared" si="276"/>
        <v>0</v>
      </c>
      <c r="BP149" s="884"/>
      <c r="BQ149" s="899"/>
      <c r="BR149" s="904">
        <f t="shared" si="277"/>
        <v>0</v>
      </c>
      <c r="BS149" s="906">
        <f t="shared" si="277"/>
        <v>0</v>
      </c>
      <c r="BT149" s="874"/>
      <c r="BU149" s="884"/>
      <c r="BV149" s="899"/>
      <c r="BW149" s="899">
        <f t="shared" si="278"/>
        <v>0</v>
      </c>
      <c r="BX149" s="899">
        <f t="shared" si="278"/>
        <v>0</v>
      </c>
      <c r="BY149" s="891"/>
      <c r="BZ149" s="904"/>
      <c r="CA149" s="904">
        <f t="shared" si="279"/>
        <v>0</v>
      </c>
      <c r="CB149" s="906">
        <f t="shared" si="279"/>
        <v>0</v>
      </c>
      <c r="CC149" s="874"/>
      <c r="CD149" s="874"/>
      <c r="CE149" s="874"/>
      <c r="CF149" s="874"/>
      <c r="CG149" s="874"/>
      <c r="CH149" s="874"/>
      <c r="CI149" s="874"/>
      <c r="CJ149" s="874"/>
      <c r="CK149" s="874"/>
      <c r="CL149" s="874"/>
      <c r="CM149" s="874"/>
      <c r="CN149" s="874"/>
      <c r="CO149" s="874"/>
      <c r="CP149" s="874"/>
      <c r="CQ149" s="874"/>
      <c r="CR149" s="874"/>
      <c r="CS149" s="874"/>
      <c r="CT149" s="874"/>
      <c r="CU149" s="874"/>
      <c r="CV149" s="874"/>
      <c r="CW149" s="874"/>
      <c r="CX149" s="874"/>
      <c r="CY149" s="874"/>
      <c r="CZ149" s="874"/>
      <c r="DA149" s="874"/>
      <c r="DB149" s="874"/>
      <c r="DC149" s="874"/>
      <c r="DD149" s="874"/>
      <c r="DE149" s="874"/>
      <c r="DF149" s="874"/>
      <c r="DG149" s="874"/>
      <c r="DH149" s="874"/>
      <c r="DI149" s="874"/>
      <c r="DJ149" s="874"/>
      <c r="DK149" s="874"/>
      <c r="DL149" s="874"/>
      <c r="DM149" s="874"/>
      <c r="DN149" s="874"/>
      <c r="DO149" s="874"/>
      <c r="DP149" s="874"/>
      <c r="DQ149" s="874"/>
      <c r="DR149" s="874"/>
      <c r="DS149" s="874"/>
      <c r="DT149" s="874"/>
      <c r="DU149" s="874"/>
      <c r="DV149" s="874"/>
      <c r="DW149" s="874"/>
      <c r="DX149" s="874"/>
      <c r="DY149" s="874"/>
      <c r="DZ149" s="874"/>
      <c r="EA149" s="874"/>
    </row>
    <row r="150" spans="1:131" ht="21" hidden="1" outlineLevel="1" thickBot="1">
      <c r="A150" s="897" t="s">
        <v>705</v>
      </c>
      <c r="B150" s="884"/>
      <c r="C150" s="899"/>
      <c r="D150" s="917">
        <v>0</v>
      </c>
      <c r="E150" s="917">
        <v>0</v>
      </c>
      <c r="F150" s="886">
        <f t="shared" si="264"/>
        <v>0</v>
      </c>
      <c r="G150" s="884"/>
      <c r="H150" s="899"/>
      <c r="I150" s="917">
        <v>0</v>
      </c>
      <c r="J150" s="917">
        <v>0</v>
      </c>
      <c r="K150" s="886">
        <f t="shared" si="265"/>
        <v>0</v>
      </c>
      <c r="L150" s="884"/>
      <c r="M150" s="899"/>
      <c r="N150" s="917">
        <v>0</v>
      </c>
      <c r="O150" s="917">
        <v>0</v>
      </c>
      <c r="P150" s="887">
        <f t="shared" si="266"/>
        <v>0</v>
      </c>
      <c r="Q150" s="884"/>
      <c r="R150" s="918"/>
      <c r="S150" s="919"/>
      <c r="T150" s="884"/>
      <c r="U150" s="918"/>
      <c r="V150" s="919"/>
      <c r="W150" s="884"/>
      <c r="X150" s="899"/>
      <c r="Y150" s="899">
        <f t="shared" si="272"/>
        <v>0</v>
      </c>
      <c r="Z150" s="899">
        <f t="shared" si="272"/>
        <v>0</v>
      </c>
      <c r="AA150" s="886">
        <f t="shared" si="267"/>
        <v>0</v>
      </c>
      <c r="AB150" s="884"/>
      <c r="AC150" s="899"/>
      <c r="AD150" s="918"/>
      <c r="AE150" s="918"/>
      <c r="AF150" s="886">
        <f t="shared" si="268"/>
        <v>0</v>
      </c>
      <c r="AG150" s="884"/>
      <c r="AH150" s="918"/>
      <c r="AI150" s="919"/>
      <c r="AJ150" s="884"/>
      <c r="AK150" s="918"/>
      <c r="AL150" s="919"/>
      <c r="AM150" s="884"/>
      <c r="AN150" s="918"/>
      <c r="AO150" s="919"/>
      <c r="AP150" s="884"/>
      <c r="AQ150" s="918"/>
      <c r="AR150" s="919"/>
      <c r="AS150" s="903"/>
      <c r="AT150" s="874"/>
      <c r="AU150" s="884"/>
      <c r="AV150" s="899"/>
      <c r="AW150" s="899">
        <f t="shared" si="273"/>
        <v>0</v>
      </c>
      <c r="AX150" s="899">
        <f t="shared" si="273"/>
        <v>0</v>
      </c>
      <c r="AY150" s="891"/>
      <c r="AZ150" s="904"/>
      <c r="BA150" s="904">
        <f t="shared" si="274"/>
        <v>0</v>
      </c>
      <c r="BB150" s="904">
        <f t="shared" si="274"/>
        <v>0</v>
      </c>
      <c r="BC150" s="884"/>
      <c r="BD150" s="899"/>
      <c r="BE150" s="899">
        <f t="shared" si="275"/>
        <v>0</v>
      </c>
      <c r="BF150" s="899">
        <f t="shared" si="275"/>
        <v>0</v>
      </c>
      <c r="BG150" s="891">
        <f t="shared" si="269"/>
        <v>0</v>
      </c>
      <c r="BH150" s="904">
        <f t="shared" si="270"/>
        <v>0</v>
      </c>
      <c r="BI150" s="906">
        <f t="shared" si="271"/>
        <v>0</v>
      </c>
      <c r="BJ150" s="905"/>
      <c r="BK150" s="874"/>
      <c r="BL150" s="884"/>
      <c r="BM150" s="899"/>
      <c r="BN150" s="899">
        <f t="shared" si="276"/>
        <v>0</v>
      </c>
      <c r="BO150" s="899">
        <f t="shared" si="276"/>
        <v>0</v>
      </c>
      <c r="BP150" s="884"/>
      <c r="BQ150" s="899"/>
      <c r="BR150" s="904">
        <f t="shared" si="277"/>
        <v>0</v>
      </c>
      <c r="BS150" s="906">
        <f t="shared" si="277"/>
        <v>0</v>
      </c>
      <c r="BT150" s="874"/>
      <c r="BU150" s="884"/>
      <c r="BV150" s="899"/>
      <c r="BW150" s="899">
        <f t="shared" si="278"/>
        <v>0</v>
      </c>
      <c r="BX150" s="899">
        <f t="shared" si="278"/>
        <v>0</v>
      </c>
      <c r="BY150" s="891"/>
      <c r="BZ150" s="904"/>
      <c r="CA150" s="904">
        <f t="shared" si="279"/>
        <v>0</v>
      </c>
      <c r="CB150" s="906">
        <f t="shared" si="279"/>
        <v>0</v>
      </c>
      <c r="CC150" s="874"/>
      <c r="CD150" s="874"/>
      <c r="CE150" s="874"/>
      <c r="CF150" s="874"/>
      <c r="CG150" s="874"/>
      <c r="CH150" s="874"/>
      <c r="CI150" s="874"/>
      <c r="CJ150" s="874"/>
      <c r="CK150" s="874"/>
      <c r="CL150" s="874"/>
      <c r="CM150" s="874"/>
      <c r="CN150" s="874"/>
      <c r="CO150" s="874"/>
      <c r="CP150" s="874"/>
      <c r="CQ150" s="874"/>
      <c r="CR150" s="874"/>
      <c r="CS150" s="874"/>
      <c r="CT150" s="874"/>
      <c r="CU150" s="874"/>
      <c r="CV150" s="874"/>
      <c r="CW150" s="874"/>
      <c r="CX150" s="874"/>
      <c r="CY150" s="874"/>
      <c r="CZ150" s="874"/>
      <c r="DA150" s="874"/>
      <c r="DB150" s="874"/>
      <c r="DC150" s="874"/>
      <c r="DD150" s="874"/>
      <c r="DE150" s="874"/>
      <c r="DF150" s="874"/>
      <c r="DG150" s="874"/>
      <c r="DH150" s="874"/>
      <c r="DI150" s="874"/>
      <c r="DJ150" s="874"/>
      <c r="DK150" s="874"/>
      <c r="DL150" s="874"/>
      <c r="DM150" s="874"/>
      <c r="DN150" s="874"/>
      <c r="DO150" s="874"/>
      <c r="DP150" s="874"/>
      <c r="DQ150" s="874"/>
      <c r="DR150" s="874"/>
      <c r="DS150" s="874"/>
      <c r="DT150" s="874"/>
      <c r="DU150" s="874"/>
      <c r="DV150" s="874"/>
      <c r="DW150" s="874"/>
      <c r="DX150" s="874"/>
      <c r="DY150" s="874"/>
      <c r="DZ150" s="874"/>
      <c r="EA150" s="874"/>
    </row>
    <row r="151" spans="1:131" ht="21" hidden="1" outlineLevel="1" thickBot="1">
      <c r="A151" s="896" t="s">
        <v>706</v>
      </c>
      <c r="B151" s="926"/>
      <c r="C151" s="927">
        <v>0</v>
      </c>
      <c r="D151" s="928"/>
      <c r="E151" s="928"/>
      <c r="F151" s="929"/>
      <c r="G151" s="926"/>
      <c r="H151" s="927">
        <v>0</v>
      </c>
      <c r="I151" s="928"/>
      <c r="J151" s="928"/>
      <c r="K151" s="929"/>
      <c r="L151" s="926"/>
      <c r="M151" s="927">
        <v>0</v>
      </c>
      <c r="N151" s="928"/>
      <c r="O151" s="928"/>
      <c r="P151" s="930"/>
      <c r="Q151" s="931"/>
      <c r="R151" s="928"/>
      <c r="S151" s="929"/>
      <c r="T151" s="931"/>
      <c r="U151" s="928"/>
      <c r="V151" s="929"/>
      <c r="W151" s="926"/>
      <c r="X151" s="928">
        <f>M151+Q151-T151</f>
        <v>0</v>
      </c>
      <c r="Y151" s="928"/>
      <c r="Z151" s="928"/>
      <c r="AA151" s="929"/>
      <c r="AB151" s="926"/>
      <c r="AC151" s="932"/>
      <c r="AD151" s="928"/>
      <c r="AE151" s="928"/>
      <c r="AF151" s="929"/>
      <c r="AG151" s="931"/>
      <c r="AH151" s="928"/>
      <c r="AI151" s="929"/>
      <c r="AJ151" s="931"/>
      <c r="AK151" s="928"/>
      <c r="AL151" s="929"/>
      <c r="AM151" s="931"/>
      <c r="AN151" s="928"/>
      <c r="AO151" s="929"/>
      <c r="AP151" s="931"/>
      <c r="AQ151" s="928"/>
      <c r="AR151" s="929"/>
      <c r="AS151" s="933"/>
      <c r="AT151" s="874"/>
      <c r="AU151" s="926"/>
      <c r="AV151" s="928">
        <f>AC151-M151</f>
        <v>0</v>
      </c>
      <c r="AW151" s="928"/>
      <c r="AX151" s="928"/>
      <c r="AY151" s="934"/>
      <c r="AZ151" s="935">
        <f>IF(M151=0,0,AC151/M151*100)</f>
        <v>0</v>
      </c>
      <c r="BA151" s="935"/>
      <c r="BB151" s="935"/>
      <c r="BC151" s="926"/>
      <c r="BD151" s="928">
        <f>AC151-M151-AG151-AJ151-AM151-AP151</f>
        <v>0</v>
      </c>
      <c r="BE151" s="928"/>
      <c r="BF151" s="928"/>
      <c r="BG151" s="926"/>
      <c r="BH151" s="928"/>
      <c r="BI151" s="929"/>
      <c r="BJ151" s="936"/>
      <c r="BK151" s="874"/>
      <c r="BL151" s="926"/>
      <c r="BM151" s="928">
        <f>AC151-X151</f>
        <v>0</v>
      </c>
      <c r="BN151" s="928"/>
      <c r="BO151" s="928"/>
      <c r="BP151" s="926"/>
      <c r="BQ151" s="935">
        <f>IF(X151=0,0,AC151/X151*100)</f>
        <v>0</v>
      </c>
      <c r="BR151" s="928"/>
      <c r="BS151" s="929"/>
      <c r="BT151" s="874"/>
      <c r="BU151" s="926"/>
      <c r="BV151" s="928">
        <f>AC151-C151</f>
        <v>0</v>
      </c>
      <c r="BW151" s="928"/>
      <c r="BX151" s="928"/>
      <c r="BY151" s="934"/>
      <c r="BZ151" s="935">
        <f>IF(C151=0,0,AC151/C151*100)</f>
        <v>0</v>
      </c>
      <c r="CA151" s="935"/>
      <c r="CB151" s="937"/>
      <c r="CC151" s="874"/>
      <c r="CD151" s="874"/>
      <c r="CE151" s="874"/>
      <c r="CF151" s="874"/>
      <c r="CG151" s="874"/>
      <c r="CH151" s="874"/>
      <c r="CI151" s="874"/>
      <c r="CJ151" s="874"/>
      <c r="CK151" s="874"/>
      <c r="CL151" s="874"/>
      <c r="CM151" s="874"/>
      <c r="CN151" s="874"/>
      <c r="CO151" s="874"/>
      <c r="CP151" s="874"/>
      <c r="CQ151" s="874"/>
      <c r="CR151" s="874"/>
      <c r="CS151" s="874"/>
      <c r="CT151" s="874"/>
      <c r="CU151" s="874"/>
      <c r="CV151" s="874"/>
      <c r="CW151" s="874"/>
      <c r="CX151" s="874"/>
      <c r="CY151" s="874"/>
      <c r="CZ151" s="874"/>
      <c r="DA151" s="874"/>
      <c r="DB151" s="874"/>
      <c r="DC151" s="874"/>
      <c r="DD151" s="874"/>
      <c r="DE151" s="874"/>
      <c r="DF151" s="874"/>
      <c r="DG151" s="874"/>
      <c r="DH151" s="874"/>
      <c r="DI151" s="874"/>
      <c r="DJ151" s="874"/>
      <c r="DK151" s="874"/>
      <c r="DL151" s="874"/>
      <c r="DM151" s="874"/>
      <c r="DN151" s="874"/>
      <c r="DO151" s="874"/>
      <c r="DP151" s="874"/>
      <c r="DQ151" s="874"/>
      <c r="DR151" s="874"/>
      <c r="DS151" s="874"/>
      <c r="DT151" s="874"/>
      <c r="DU151" s="874"/>
      <c r="DV151" s="874"/>
      <c r="DW151" s="874"/>
      <c r="DX151" s="874"/>
      <c r="DY151" s="874"/>
      <c r="DZ151" s="874"/>
      <c r="EA151" s="874"/>
    </row>
    <row r="152" spans="1:131" s="942" customFormat="1" ht="5.25" hidden="1" customHeight="1">
      <c r="A152" s="938"/>
      <c r="B152" s="939"/>
      <c r="C152" s="939"/>
      <c r="D152" s="939"/>
      <c r="E152" s="939"/>
      <c r="F152" s="939"/>
      <c r="G152" s="939"/>
      <c r="H152" s="939"/>
      <c r="I152" s="939"/>
      <c r="J152" s="939"/>
      <c r="K152" s="939"/>
      <c r="L152" s="939"/>
      <c r="M152" s="939"/>
      <c r="N152" s="939"/>
      <c r="O152" s="939"/>
      <c r="P152" s="939"/>
      <c r="Q152" s="939"/>
      <c r="R152" s="939"/>
      <c r="S152" s="939"/>
      <c r="T152" s="939"/>
      <c r="U152" s="939"/>
      <c r="V152" s="939"/>
      <c r="W152" s="939"/>
      <c r="X152" s="939"/>
      <c r="Y152" s="939"/>
      <c r="Z152" s="939"/>
      <c r="AA152" s="939"/>
      <c r="AB152" s="939"/>
      <c r="AC152" s="939"/>
      <c r="AD152" s="939"/>
      <c r="AE152" s="939"/>
      <c r="AF152" s="939"/>
      <c r="AG152" s="939"/>
      <c r="AH152" s="939"/>
      <c r="AI152" s="939"/>
      <c r="AJ152" s="939"/>
      <c r="AK152" s="939"/>
      <c r="AL152" s="939"/>
      <c r="AM152" s="939"/>
      <c r="AN152" s="939"/>
      <c r="AO152" s="939"/>
      <c r="AP152" s="939"/>
      <c r="AQ152" s="939"/>
      <c r="AR152" s="939"/>
      <c r="AS152" s="939"/>
      <c r="AT152" s="874"/>
      <c r="AU152" s="939"/>
      <c r="AV152" s="939"/>
      <c r="AW152" s="939"/>
      <c r="AX152" s="939"/>
      <c r="AY152" s="939"/>
      <c r="AZ152" s="939"/>
      <c r="BA152" s="939"/>
      <c r="BB152" s="939"/>
      <c r="BC152" s="939"/>
      <c r="BD152" s="939"/>
      <c r="BE152" s="939"/>
      <c r="BF152" s="939"/>
      <c r="BG152" s="939"/>
      <c r="BH152" s="939"/>
      <c r="BI152" s="939"/>
      <c r="BJ152" s="939"/>
      <c r="BK152" s="874"/>
      <c r="BL152" s="940"/>
      <c r="BM152" s="940"/>
      <c r="BN152" s="940"/>
      <c r="BO152" s="940"/>
      <c r="BP152" s="940"/>
      <c r="BQ152" s="940"/>
      <c r="BR152" s="940"/>
      <c r="BS152" s="940"/>
      <c r="BT152" s="874"/>
      <c r="BU152" s="940"/>
      <c r="BV152" s="940"/>
      <c r="BW152" s="940"/>
      <c r="BX152" s="940"/>
      <c r="BY152" s="941"/>
      <c r="BZ152" s="941"/>
      <c r="CA152" s="941"/>
      <c r="CB152" s="941"/>
      <c r="CC152" s="874"/>
      <c r="CD152" s="874"/>
      <c r="CE152" s="874"/>
      <c r="CF152" s="874"/>
      <c r="CG152" s="874"/>
      <c r="CH152" s="874"/>
      <c r="CI152" s="874"/>
      <c r="CJ152" s="874"/>
      <c r="CK152" s="874"/>
      <c r="CL152" s="874"/>
      <c r="CM152" s="874"/>
      <c r="CN152" s="874"/>
      <c r="CO152" s="874"/>
      <c r="CP152" s="874"/>
      <c r="CQ152" s="874"/>
      <c r="CR152" s="874"/>
      <c r="CS152" s="874"/>
      <c r="CT152" s="874"/>
      <c r="CU152" s="874"/>
      <c r="CV152" s="874"/>
      <c r="CW152" s="874"/>
      <c r="CX152" s="874"/>
      <c r="CY152" s="874"/>
      <c r="CZ152" s="874"/>
      <c r="DA152" s="874"/>
      <c r="DB152" s="874"/>
      <c r="DC152" s="874"/>
      <c r="DD152" s="874"/>
      <c r="DE152" s="874"/>
      <c r="DF152" s="874"/>
      <c r="DG152" s="874"/>
      <c r="DH152" s="874"/>
      <c r="DI152" s="874"/>
      <c r="DJ152" s="874"/>
      <c r="DK152" s="874"/>
      <c r="DL152" s="874"/>
      <c r="DM152" s="874"/>
      <c r="DN152" s="874"/>
      <c r="DO152" s="874"/>
      <c r="DP152" s="874"/>
      <c r="DQ152" s="874"/>
      <c r="DR152" s="874"/>
      <c r="DS152" s="874"/>
      <c r="DT152" s="874"/>
      <c r="DU152" s="874"/>
      <c r="DV152" s="874"/>
      <c r="DW152" s="874"/>
      <c r="DX152" s="874"/>
      <c r="DY152" s="874"/>
      <c r="DZ152" s="874"/>
      <c r="EA152" s="874"/>
    </row>
    <row r="153" spans="1:131" s="882" customFormat="1" ht="27.75" customHeight="1" thickBot="1">
      <c r="A153" s="943" t="s">
        <v>719</v>
      </c>
      <c r="B153" s="944">
        <f t="shared" ref="B153:B158" si="280">C153+D153</f>
        <v>241918932</v>
      </c>
      <c r="C153" s="945">
        <v>6255916</v>
      </c>
      <c r="D153" s="946">
        <f>D154+D155</f>
        <v>235663016</v>
      </c>
      <c r="E153" s="946">
        <f>E154+E155</f>
        <v>1046</v>
      </c>
      <c r="F153" s="947">
        <f t="shared" ref="F153:F158" si="281">IF(E153=0,0,ROUND(D153/E153/12,0))</f>
        <v>18775</v>
      </c>
      <c r="G153" s="944">
        <f t="shared" ref="G153:G158" si="282">H153+I153</f>
        <v>233966977</v>
      </c>
      <c r="H153" s="945">
        <v>8473371</v>
      </c>
      <c r="I153" s="946">
        <f>I154+I155</f>
        <v>225493606</v>
      </c>
      <c r="J153" s="946">
        <f>J154+J155</f>
        <v>1016</v>
      </c>
      <c r="K153" s="947">
        <f t="shared" ref="K153:K158" si="283">IF(J153=0,0,ROUND(I153/J153/12,0))</f>
        <v>18495</v>
      </c>
      <c r="L153" s="944">
        <f t="shared" ref="L153:L158" si="284">M153+N153</f>
        <v>251460483</v>
      </c>
      <c r="M153" s="945">
        <v>8473371</v>
      </c>
      <c r="N153" s="946">
        <f>N154+N155</f>
        <v>242987112</v>
      </c>
      <c r="O153" s="946">
        <f>O154+O155</f>
        <v>1034</v>
      </c>
      <c r="P153" s="948">
        <f t="shared" ref="P153:P158" si="285">IF(O153=0,0,ROUND(N153/O153/12,0))</f>
        <v>19583</v>
      </c>
      <c r="Q153" s="949">
        <v>77865</v>
      </c>
      <c r="R153" s="950">
        <f>R154+R155</f>
        <v>12578659</v>
      </c>
      <c r="S153" s="951">
        <f>S154+S155</f>
        <v>0</v>
      </c>
      <c r="T153" s="952"/>
      <c r="U153" s="950">
        <f>U154+U155</f>
        <v>0</v>
      </c>
      <c r="V153" s="951">
        <f>V154+V155</f>
        <v>0</v>
      </c>
      <c r="W153" s="944">
        <f t="shared" ref="W153:W158" si="286">X153+Y153</f>
        <v>264117007</v>
      </c>
      <c r="X153" s="953">
        <f t="shared" ref="X153:Z158" si="287">M153+Q153-T153</f>
        <v>8551236</v>
      </c>
      <c r="Y153" s="953">
        <f t="shared" si="287"/>
        <v>255565771</v>
      </c>
      <c r="Z153" s="953">
        <f t="shared" si="287"/>
        <v>1034</v>
      </c>
      <c r="AA153" s="947">
        <f t="shared" ref="AA153:AA158" si="288">IF(Z153=0,0,ROUND(Y153/Z153/12,0))</f>
        <v>20597</v>
      </c>
      <c r="AB153" s="944">
        <f t="shared" ref="AB153:AB158" si="289">AC153+AD153</f>
        <v>261442312</v>
      </c>
      <c r="AC153" s="954">
        <v>6832761</v>
      </c>
      <c r="AD153" s="950">
        <f>AD154+AD155</f>
        <v>254609551</v>
      </c>
      <c r="AE153" s="950">
        <f>AE154+AE155</f>
        <v>1022</v>
      </c>
      <c r="AF153" s="947">
        <f t="shared" ref="AF153:AF158" si="290">IF(AE153=0,0,ROUND(AD153/AE153/12,0))</f>
        <v>20761</v>
      </c>
      <c r="AG153" s="949">
        <v>77865</v>
      </c>
      <c r="AH153" s="950">
        <f>AH154+AH155</f>
        <v>0</v>
      </c>
      <c r="AI153" s="951">
        <f>AI154+AI155</f>
        <v>0</v>
      </c>
      <c r="AJ153" s="949"/>
      <c r="AK153" s="950">
        <f>AK154+AK155</f>
        <v>0</v>
      </c>
      <c r="AL153" s="951">
        <f>AL154+AL155</f>
        <v>0</v>
      </c>
      <c r="AM153" s="949"/>
      <c r="AN153" s="950">
        <f>AN154+AN155</f>
        <v>12578659</v>
      </c>
      <c r="AO153" s="951">
        <f>AO154+AO155</f>
        <v>0</v>
      </c>
      <c r="AP153" s="949"/>
      <c r="AQ153" s="950">
        <f>AQ154+AQ155</f>
        <v>0</v>
      </c>
      <c r="AR153" s="951">
        <f>AR154+AR155</f>
        <v>0</v>
      </c>
      <c r="AS153" s="955">
        <f>AS154+AS155</f>
        <v>6597982</v>
      </c>
      <c r="AT153" s="874"/>
      <c r="AU153" s="944">
        <f t="shared" ref="AU153:AU158" si="291">AV153+AW153</f>
        <v>9981829</v>
      </c>
      <c r="AV153" s="953">
        <f t="shared" ref="AV153:AX158" si="292">AC153-M153</f>
        <v>-1640610</v>
      </c>
      <c r="AW153" s="953">
        <f t="shared" si="292"/>
        <v>11622439</v>
      </c>
      <c r="AX153" s="953">
        <f t="shared" si="292"/>
        <v>-12</v>
      </c>
      <c r="AY153" s="956">
        <f t="shared" ref="AY153:BB158" si="293">IF(L153=0,0,AB153/L153*100)</f>
        <v>103.96954180669414</v>
      </c>
      <c r="AZ153" s="957">
        <f t="shared" si="293"/>
        <v>80.638048304505958</v>
      </c>
      <c r="BA153" s="957">
        <f t="shared" si="293"/>
        <v>104.78315039194341</v>
      </c>
      <c r="BB153" s="957">
        <f t="shared" si="293"/>
        <v>98.839458413926494</v>
      </c>
      <c r="BC153" s="944">
        <f t="shared" ref="BC153:BC158" si="294">BD153+BE153</f>
        <v>-2674695</v>
      </c>
      <c r="BD153" s="953">
        <f t="shared" ref="BD153:BF158" si="295">AC153-M153-AG153-AJ153-AM153-AP153</f>
        <v>-1718475</v>
      </c>
      <c r="BE153" s="953">
        <f t="shared" si="295"/>
        <v>-956220</v>
      </c>
      <c r="BF153" s="953">
        <f t="shared" si="295"/>
        <v>-12</v>
      </c>
      <c r="BG153" s="956">
        <f t="shared" ref="BG153:BG158" si="296">IF(F153=0,0,AF153/F153*100)</f>
        <v>110.57789613848203</v>
      </c>
      <c r="BH153" s="957">
        <f t="shared" ref="BH153:BH158" si="297">IF(K153=0,0,AF153/K153*100)</f>
        <v>112.25195998918626</v>
      </c>
      <c r="BI153" s="958">
        <f t="shared" ref="BI153:BI158" si="298">IF(P153=0,0,AF153/P153*100)</f>
        <v>106.01542153909003</v>
      </c>
      <c r="BJ153" s="959">
        <f t="shared" ref="BJ153:BJ158" si="299">AS153</f>
        <v>6597982</v>
      </c>
      <c r="BK153" s="874"/>
      <c r="BL153" s="944">
        <f t="shared" ref="BL153:BL158" si="300">BM153+BN153</f>
        <v>-2674695</v>
      </c>
      <c r="BM153" s="953">
        <f t="shared" ref="BM153:BO158" si="301">AC153-X153</f>
        <v>-1718475</v>
      </c>
      <c r="BN153" s="953">
        <f t="shared" si="301"/>
        <v>-956220</v>
      </c>
      <c r="BO153" s="953">
        <f t="shared" si="301"/>
        <v>-12</v>
      </c>
      <c r="BP153" s="956">
        <f t="shared" ref="BP153:BS158" si="302">IF(W153=0,0,AB153/W153*100)</f>
        <v>98.987306788615854</v>
      </c>
      <c r="BQ153" s="957">
        <f t="shared" si="302"/>
        <v>79.903782330413989</v>
      </c>
      <c r="BR153" s="957">
        <f t="shared" si="302"/>
        <v>99.625841912921899</v>
      </c>
      <c r="BS153" s="960">
        <f t="shared" si="302"/>
        <v>98.839458413926494</v>
      </c>
      <c r="BT153" s="874"/>
      <c r="BU153" s="944">
        <f t="shared" ref="BU153:BU158" si="303">BV153+BW153</f>
        <v>19523380</v>
      </c>
      <c r="BV153" s="953">
        <f t="shared" ref="BV153:BX158" si="304">AC153-C153</f>
        <v>576845</v>
      </c>
      <c r="BW153" s="953">
        <f t="shared" si="304"/>
        <v>18946535</v>
      </c>
      <c r="BX153" s="953">
        <f t="shared" si="304"/>
        <v>-24</v>
      </c>
      <c r="BY153" s="956">
        <f t="shared" ref="BY153:CB158" si="305">IF(B153=0,0,AB153/B153*100)</f>
        <v>108.07021585230873</v>
      </c>
      <c r="BZ153" s="957">
        <f t="shared" si="305"/>
        <v>109.22079196715558</v>
      </c>
      <c r="CA153" s="957">
        <f t="shared" si="305"/>
        <v>108.03967263153417</v>
      </c>
      <c r="CB153" s="960">
        <f t="shared" si="305"/>
        <v>97.705544933078386</v>
      </c>
      <c r="CC153" s="874"/>
      <c r="CD153" s="874"/>
      <c r="CE153" s="874"/>
      <c r="CF153" s="874"/>
      <c r="CG153" s="874"/>
      <c r="CH153" s="874"/>
      <c r="CI153" s="874"/>
      <c r="CJ153" s="874"/>
      <c r="CK153" s="874"/>
      <c r="CL153" s="874"/>
      <c r="CM153" s="874"/>
      <c r="CN153" s="874"/>
      <c r="CO153" s="874"/>
      <c r="CP153" s="874"/>
      <c r="CQ153" s="874"/>
      <c r="CR153" s="874"/>
      <c r="CS153" s="874"/>
      <c r="CT153" s="874"/>
      <c r="CU153" s="874"/>
      <c r="CV153" s="874"/>
      <c r="CW153" s="874"/>
      <c r="CX153" s="874"/>
      <c r="CY153" s="874"/>
      <c r="CZ153" s="874"/>
      <c r="DA153" s="874"/>
      <c r="DB153" s="874"/>
      <c r="DC153" s="874"/>
      <c r="DD153" s="874"/>
      <c r="DE153" s="874"/>
      <c r="DF153" s="874"/>
      <c r="DG153" s="874"/>
      <c r="DH153" s="874"/>
      <c r="DI153" s="874"/>
      <c r="DJ153" s="874"/>
      <c r="DK153" s="874"/>
      <c r="DL153" s="874"/>
      <c r="DM153" s="874"/>
      <c r="DN153" s="874"/>
      <c r="DO153" s="874"/>
      <c r="DP153" s="874"/>
      <c r="DQ153" s="874"/>
      <c r="DR153" s="874"/>
      <c r="DS153" s="874"/>
      <c r="DT153" s="874"/>
      <c r="DU153" s="874"/>
      <c r="DV153" s="874"/>
      <c r="DW153" s="874"/>
      <c r="DX153" s="874"/>
      <c r="DY153" s="874"/>
      <c r="DZ153" s="874"/>
      <c r="EA153" s="874"/>
    </row>
    <row r="154" spans="1:131" s="882" customFormat="1" ht="20.25" customHeight="1" thickBot="1">
      <c r="A154" s="961" t="s">
        <v>720</v>
      </c>
      <c r="B154" s="867">
        <f t="shared" si="280"/>
        <v>235663016</v>
      </c>
      <c r="C154" s="962">
        <v>0</v>
      </c>
      <c r="D154" s="962">
        <v>235663016</v>
      </c>
      <c r="E154" s="962">
        <v>1046</v>
      </c>
      <c r="F154" s="872">
        <f t="shared" si="281"/>
        <v>18775</v>
      </c>
      <c r="G154" s="867">
        <f t="shared" si="282"/>
        <v>225493606</v>
      </c>
      <c r="H154" s="962">
        <v>0</v>
      </c>
      <c r="I154" s="962">
        <v>225493606</v>
      </c>
      <c r="J154" s="962">
        <v>1016</v>
      </c>
      <c r="K154" s="872">
        <f t="shared" si="283"/>
        <v>18495</v>
      </c>
      <c r="L154" s="867">
        <f t="shared" si="284"/>
        <v>242987112</v>
      </c>
      <c r="M154" s="962">
        <v>0</v>
      </c>
      <c r="N154" s="962">
        <v>242987112</v>
      </c>
      <c r="O154" s="962">
        <v>1034</v>
      </c>
      <c r="P154" s="869">
        <f t="shared" si="285"/>
        <v>19583</v>
      </c>
      <c r="Q154" s="963"/>
      <c r="R154" s="964">
        <v>12578659</v>
      </c>
      <c r="S154" s="965"/>
      <c r="T154" s="966"/>
      <c r="U154" s="964"/>
      <c r="V154" s="965"/>
      <c r="W154" s="867">
        <f t="shared" si="286"/>
        <v>255565771</v>
      </c>
      <c r="X154" s="868">
        <f t="shared" si="287"/>
        <v>0</v>
      </c>
      <c r="Y154" s="868">
        <f t="shared" si="287"/>
        <v>255565771</v>
      </c>
      <c r="Z154" s="868">
        <f t="shared" si="287"/>
        <v>1034</v>
      </c>
      <c r="AA154" s="872">
        <f t="shared" si="288"/>
        <v>20597</v>
      </c>
      <c r="AB154" s="867">
        <f t="shared" si="289"/>
        <v>254609551</v>
      </c>
      <c r="AC154" s="964"/>
      <c r="AD154" s="964">
        <v>254609551</v>
      </c>
      <c r="AE154" s="964">
        <v>1022</v>
      </c>
      <c r="AF154" s="872">
        <f t="shared" si="290"/>
        <v>20761</v>
      </c>
      <c r="AG154" s="963"/>
      <c r="AH154" s="964"/>
      <c r="AI154" s="965"/>
      <c r="AJ154" s="963"/>
      <c r="AK154" s="964"/>
      <c r="AL154" s="965"/>
      <c r="AM154" s="963"/>
      <c r="AN154" s="964">
        <v>12578659</v>
      </c>
      <c r="AO154" s="965"/>
      <c r="AP154" s="963"/>
      <c r="AQ154" s="964"/>
      <c r="AR154" s="965"/>
      <c r="AS154" s="967">
        <v>6597982</v>
      </c>
      <c r="AT154" s="968"/>
      <c r="AU154" s="867">
        <f t="shared" si="291"/>
        <v>11622439</v>
      </c>
      <c r="AV154" s="868">
        <f t="shared" si="292"/>
        <v>0</v>
      </c>
      <c r="AW154" s="868">
        <f t="shared" si="292"/>
        <v>11622439</v>
      </c>
      <c r="AX154" s="868">
        <f t="shared" si="292"/>
        <v>-12</v>
      </c>
      <c r="AY154" s="877">
        <f t="shared" si="293"/>
        <v>104.78315039194341</v>
      </c>
      <c r="AZ154" s="878">
        <f t="shared" si="293"/>
        <v>0</v>
      </c>
      <c r="BA154" s="878">
        <f t="shared" si="293"/>
        <v>104.78315039194341</v>
      </c>
      <c r="BB154" s="878">
        <f t="shared" si="293"/>
        <v>98.839458413926494</v>
      </c>
      <c r="BC154" s="867">
        <f t="shared" si="294"/>
        <v>-956220</v>
      </c>
      <c r="BD154" s="868">
        <f t="shared" si="295"/>
        <v>0</v>
      </c>
      <c r="BE154" s="868">
        <f t="shared" si="295"/>
        <v>-956220</v>
      </c>
      <c r="BF154" s="868">
        <f t="shared" si="295"/>
        <v>-12</v>
      </c>
      <c r="BG154" s="877">
        <f t="shared" si="296"/>
        <v>110.57789613848203</v>
      </c>
      <c r="BH154" s="878">
        <f t="shared" si="297"/>
        <v>112.25195998918626</v>
      </c>
      <c r="BI154" s="879">
        <f t="shared" si="298"/>
        <v>106.01542153909003</v>
      </c>
      <c r="BJ154" s="969">
        <f t="shared" si="299"/>
        <v>6597982</v>
      </c>
      <c r="BK154" s="970"/>
      <c r="BL154" s="867">
        <f t="shared" si="300"/>
        <v>-956220</v>
      </c>
      <c r="BM154" s="868">
        <f t="shared" si="301"/>
        <v>0</v>
      </c>
      <c r="BN154" s="868">
        <f t="shared" si="301"/>
        <v>-956220</v>
      </c>
      <c r="BO154" s="868">
        <f t="shared" si="301"/>
        <v>-12</v>
      </c>
      <c r="BP154" s="877">
        <f t="shared" si="302"/>
        <v>99.625841912921899</v>
      </c>
      <c r="BQ154" s="878">
        <f t="shared" si="302"/>
        <v>0</v>
      </c>
      <c r="BR154" s="878">
        <f t="shared" si="302"/>
        <v>99.625841912921899</v>
      </c>
      <c r="BS154" s="879">
        <f t="shared" si="302"/>
        <v>98.839458413926494</v>
      </c>
      <c r="BT154" s="968"/>
      <c r="BU154" s="867">
        <f t="shared" si="303"/>
        <v>18946535</v>
      </c>
      <c r="BV154" s="868">
        <f t="shared" si="304"/>
        <v>0</v>
      </c>
      <c r="BW154" s="868">
        <f t="shared" si="304"/>
        <v>18946535</v>
      </c>
      <c r="BX154" s="868">
        <f t="shared" si="304"/>
        <v>-24</v>
      </c>
      <c r="BY154" s="877">
        <f t="shared" si="305"/>
        <v>108.03967263153417</v>
      </c>
      <c r="BZ154" s="878">
        <f t="shared" si="305"/>
        <v>0</v>
      </c>
      <c r="CA154" s="878">
        <f t="shared" si="305"/>
        <v>108.03967263153417</v>
      </c>
      <c r="CB154" s="879">
        <f t="shared" si="305"/>
        <v>97.705544933078386</v>
      </c>
      <c r="CC154" s="874"/>
      <c r="CD154" s="874"/>
      <c r="CE154" s="874"/>
      <c r="CF154" s="874"/>
      <c r="CG154" s="874"/>
      <c r="CH154" s="874"/>
      <c r="CI154" s="874"/>
      <c r="CJ154" s="874"/>
      <c r="CK154" s="874"/>
      <c r="CL154" s="874"/>
      <c r="CM154" s="874"/>
      <c r="CN154" s="874"/>
      <c r="CO154" s="874"/>
      <c r="CP154" s="874"/>
      <c r="CQ154" s="874"/>
      <c r="CR154" s="874"/>
      <c r="CS154" s="874"/>
      <c r="CT154" s="874"/>
      <c r="CU154" s="874"/>
      <c r="CV154" s="874"/>
      <c r="CW154" s="874"/>
      <c r="CX154" s="874"/>
      <c r="CY154" s="874"/>
      <c r="CZ154" s="874"/>
      <c r="DA154" s="874"/>
      <c r="DB154" s="874"/>
      <c r="DC154" s="874"/>
      <c r="DD154" s="874"/>
      <c r="DE154" s="874"/>
      <c r="DF154" s="874"/>
      <c r="DG154" s="874"/>
      <c r="DH154" s="874"/>
      <c r="DI154" s="874"/>
      <c r="DJ154" s="874"/>
      <c r="DK154" s="874"/>
      <c r="DL154" s="874"/>
      <c r="DM154" s="874"/>
      <c r="DN154" s="874"/>
      <c r="DO154" s="874"/>
      <c r="DP154" s="874"/>
      <c r="DQ154" s="874"/>
      <c r="DR154" s="874"/>
      <c r="DS154" s="874"/>
      <c r="DT154" s="874"/>
      <c r="DU154" s="874"/>
      <c r="DV154" s="874"/>
      <c r="DW154" s="874"/>
      <c r="DX154" s="874"/>
      <c r="DY154" s="874"/>
      <c r="DZ154" s="874"/>
      <c r="EA154" s="874"/>
    </row>
    <row r="155" spans="1:131" ht="21" hidden="1" outlineLevel="1" thickBot="1">
      <c r="A155" s="971" t="s">
        <v>721</v>
      </c>
      <c r="B155" s="972">
        <f t="shared" si="280"/>
        <v>0</v>
      </c>
      <c r="C155" s="973">
        <v>0</v>
      </c>
      <c r="D155" s="973">
        <v>0</v>
      </c>
      <c r="E155" s="973">
        <v>0</v>
      </c>
      <c r="F155" s="866">
        <f t="shared" si="281"/>
        <v>0</v>
      </c>
      <c r="G155" s="972">
        <f t="shared" si="282"/>
        <v>0</v>
      </c>
      <c r="H155" s="973">
        <v>0</v>
      </c>
      <c r="I155" s="973">
        <v>0</v>
      </c>
      <c r="J155" s="973">
        <v>0</v>
      </c>
      <c r="K155" s="866">
        <f t="shared" si="283"/>
        <v>0</v>
      </c>
      <c r="L155" s="972">
        <f t="shared" si="284"/>
        <v>0</v>
      </c>
      <c r="M155" s="973">
        <v>0</v>
      </c>
      <c r="N155" s="973">
        <v>0</v>
      </c>
      <c r="O155" s="973">
        <v>0</v>
      </c>
      <c r="P155" s="974">
        <f t="shared" si="285"/>
        <v>0</v>
      </c>
      <c r="Q155" s="975"/>
      <c r="R155" s="976"/>
      <c r="S155" s="977"/>
      <c r="T155" s="978"/>
      <c r="U155" s="976"/>
      <c r="V155" s="977"/>
      <c r="W155" s="972">
        <f t="shared" si="286"/>
        <v>0</v>
      </c>
      <c r="X155" s="979">
        <f t="shared" si="287"/>
        <v>0</v>
      </c>
      <c r="Y155" s="979">
        <f t="shared" si="287"/>
        <v>0</v>
      </c>
      <c r="Z155" s="979">
        <f t="shared" si="287"/>
        <v>0</v>
      </c>
      <c r="AA155" s="866">
        <f t="shared" si="288"/>
        <v>0</v>
      </c>
      <c r="AB155" s="972">
        <f t="shared" si="289"/>
        <v>0</v>
      </c>
      <c r="AC155" s="976"/>
      <c r="AD155" s="976"/>
      <c r="AE155" s="976"/>
      <c r="AF155" s="866">
        <f t="shared" si="290"/>
        <v>0</v>
      </c>
      <c r="AG155" s="975"/>
      <c r="AH155" s="976"/>
      <c r="AI155" s="977"/>
      <c r="AJ155" s="975"/>
      <c r="AK155" s="976"/>
      <c r="AL155" s="977"/>
      <c r="AM155" s="975"/>
      <c r="AN155" s="976"/>
      <c r="AO155" s="977"/>
      <c r="AP155" s="975"/>
      <c r="AQ155" s="976"/>
      <c r="AR155" s="977"/>
      <c r="AS155" s="977"/>
      <c r="AT155" s="874"/>
      <c r="AU155" s="972">
        <f t="shared" si="291"/>
        <v>0</v>
      </c>
      <c r="AV155" s="979">
        <f t="shared" si="292"/>
        <v>0</v>
      </c>
      <c r="AW155" s="979">
        <f t="shared" si="292"/>
        <v>0</v>
      </c>
      <c r="AX155" s="979">
        <f t="shared" si="292"/>
        <v>0</v>
      </c>
      <c r="AY155" s="980">
        <f t="shared" si="293"/>
        <v>0</v>
      </c>
      <c r="AZ155" s="892">
        <f t="shared" si="293"/>
        <v>0</v>
      </c>
      <c r="BA155" s="892">
        <f t="shared" si="293"/>
        <v>0</v>
      </c>
      <c r="BB155" s="892">
        <f t="shared" si="293"/>
        <v>0</v>
      </c>
      <c r="BC155" s="972">
        <f t="shared" si="294"/>
        <v>0</v>
      </c>
      <c r="BD155" s="979">
        <f t="shared" si="295"/>
        <v>0</v>
      </c>
      <c r="BE155" s="979">
        <f t="shared" si="295"/>
        <v>0</v>
      </c>
      <c r="BF155" s="979">
        <f t="shared" si="295"/>
        <v>0</v>
      </c>
      <c r="BG155" s="980">
        <f t="shared" si="296"/>
        <v>0</v>
      </c>
      <c r="BH155" s="892">
        <f t="shared" si="297"/>
        <v>0</v>
      </c>
      <c r="BI155" s="894">
        <f t="shared" si="298"/>
        <v>0</v>
      </c>
      <c r="BJ155" s="890">
        <f t="shared" si="299"/>
        <v>0</v>
      </c>
      <c r="BK155" s="874"/>
      <c r="BL155" s="972">
        <f t="shared" si="300"/>
        <v>0</v>
      </c>
      <c r="BM155" s="979">
        <f t="shared" si="301"/>
        <v>0</v>
      </c>
      <c r="BN155" s="979">
        <f t="shared" si="301"/>
        <v>0</v>
      </c>
      <c r="BO155" s="979">
        <f t="shared" si="301"/>
        <v>0</v>
      </c>
      <c r="BP155" s="981">
        <f t="shared" si="302"/>
        <v>0</v>
      </c>
      <c r="BQ155" s="982">
        <f t="shared" si="302"/>
        <v>0</v>
      </c>
      <c r="BR155" s="982">
        <f t="shared" si="302"/>
        <v>0</v>
      </c>
      <c r="BS155" s="983">
        <f t="shared" si="302"/>
        <v>0</v>
      </c>
      <c r="BT155" s="874"/>
      <c r="BU155" s="972">
        <f t="shared" si="303"/>
        <v>0</v>
      </c>
      <c r="BV155" s="979">
        <f t="shared" si="304"/>
        <v>0</v>
      </c>
      <c r="BW155" s="979">
        <f t="shared" si="304"/>
        <v>0</v>
      </c>
      <c r="BX155" s="979">
        <f t="shared" si="304"/>
        <v>0</v>
      </c>
      <c r="BY155" s="981">
        <f t="shared" si="305"/>
        <v>0</v>
      </c>
      <c r="BZ155" s="982">
        <f t="shared" si="305"/>
        <v>0</v>
      </c>
      <c r="CA155" s="982">
        <f t="shared" si="305"/>
        <v>0</v>
      </c>
      <c r="CB155" s="983">
        <f t="shared" si="305"/>
        <v>0</v>
      </c>
      <c r="CC155" s="874"/>
      <c r="CD155" s="874"/>
      <c r="CE155" s="874"/>
      <c r="CF155" s="874"/>
      <c r="CG155" s="874"/>
      <c r="CH155" s="874"/>
      <c r="CI155" s="874"/>
      <c r="CJ155" s="874"/>
      <c r="CK155" s="874"/>
      <c r="CL155" s="874"/>
      <c r="CM155" s="874"/>
      <c r="CN155" s="874"/>
      <c r="CO155" s="874"/>
      <c r="CP155" s="874"/>
      <c r="CQ155" s="874"/>
      <c r="CR155" s="874"/>
      <c r="CS155" s="874"/>
      <c r="CT155" s="874"/>
      <c r="CU155" s="874"/>
      <c r="CV155" s="874"/>
      <c r="CW155" s="874"/>
      <c r="CX155" s="874"/>
      <c r="CY155" s="874"/>
      <c r="CZ155" s="874"/>
      <c r="DA155" s="874"/>
      <c r="DB155" s="874"/>
      <c r="DC155" s="874"/>
      <c r="DD155" s="874"/>
      <c r="DE155" s="874"/>
      <c r="DF155" s="874"/>
      <c r="DG155" s="874"/>
      <c r="DH155" s="874"/>
      <c r="DI155" s="874"/>
      <c r="DJ155" s="874"/>
      <c r="DK155" s="874"/>
      <c r="DL155" s="874"/>
      <c r="DM155" s="874"/>
      <c r="DN155" s="874"/>
      <c r="DO155" s="874"/>
      <c r="DP155" s="874"/>
      <c r="DQ155" s="874"/>
      <c r="DR155" s="874"/>
      <c r="DS155" s="874"/>
      <c r="DT155" s="874"/>
      <c r="DU155" s="874"/>
      <c r="DV155" s="874"/>
      <c r="DW155" s="874"/>
      <c r="DX155" s="874"/>
      <c r="DY155" s="874"/>
      <c r="DZ155" s="874"/>
      <c r="EA155" s="874"/>
    </row>
    <row r="156" spans="1:131" ht="21" hidden="1" outlineLevel="1" thickBot="1">
      <c r="A156" s="883" t="s">
        <v>722</v>
      </c>
      <c r="B156" s="984">
        <f t="shared" si="280"/>
        <v>0</v>
      </c>
      <c r="C156" s="909">
        <v>0</v>
      </c>
      <c r="D156" s="909">
        <v>0</v>
      </c>
      <c r="E156" s="909">
        <v>0</v>
      </c>
      <c r="F156" s="886">
        <f t="shared" si="281"/>
        <v>0</v>
      </c>
      <c r="G156" s="984">
        <f t="shared" si="282"/>
        <v>0</v>
      </c>
      <c r="H156" s="909">
        <v>0</v>
      </c>
      <c r="I156" s="909">
        <v>0</v>
      </c>
      <c r="J156" s="909">
        <v>0</v>
      </c>
      <c r="K156" s="886">
        <f t="shared" si="283"/>
        <v>0</v>
      </c>
      <c r="L156" s="984">
        <f t="shared" si="284"/>
        <v>0</v>
      </c>
      <c r="M156" s="909">
        <v>0</v>
      </c>
      <c r="N156" s="909">
        <v>0</v>
      </c>
      <c r="O156" s="909">
        <v>0</v>
      </c>
      <c r="P156" s="887">
        <f t="shared" si="285"/>
        <v>0</v>
      </c>
      <c r="Q156" s="910"/>
      <c r="R156" s="911"/>
      <c r="S156" s="912"/>
      <c r="T156" s="985"/>
      <c r="U156" s="911"/>
      <c r="V156" s="912"/>
      <c r="W156" s="984">
        <f t="shared" si="286"/>
        <v>0</v>
      </c>
      <c r="X156" s="885">
        <f t="shared" si="287"/>
        <v>0</v>
      </c>
      <c r="Y156" s="885">
        <f t="shared" si="287"/>
        <v>0</v>
      </c>
      <c r="Z156" s="885">
        <f t="shared" si="287"/>
        <v>0</v>
      </c>
      <c r="AA156" s="886">
        <f t="shared" si="288"/>
        <v>0</v>
      </c>
      <c r="AB156" s="984">
        <f t="shared" si="289"/>
        <v>0</v>
      </c>
      <c r="AC156" s="911"/>
      <c r="AD156" s="911"/>
      <c r="AE156" s="911"/>
      <c r="AF156" s="886">
        <f t="shared" si="290"/>
        <v>0</v>
      </c>
      <c r="AG156" s="910"/>
      <c r="AH156" s="911"/>
      <c r="AI156" s="912"/>
      <c r="AJ156" s="910"/>
      <c r="AK156" s="911"/>
      <c r="AL156" s="912"/>
      <c r="AM156" s="910"/>
      <c r="AN156" s="911"/>
      <c r="AO156" s="912"/>
      <c r="AP156" s="910"/>
      <c r="AQ156" s="911"/>
      <c r="AR156" s="912"/>
      <c r="AS156" s="912"/>
      <c r="AT156" s="874"/>
      <c r="AU156" s="984">
        <f t="shared" si="291"/>
        <v>0</v>
      </c>
      <c r="AV156" s="885">
        <f t="shared" si="292"/>
        <v>0</v>
      </c>
      <c r="AW156" s="885">
        <f t="shared" si="292"/>
        <v>0</v>
      </c>
      <c r="AX156" s="885">
        <f t="shared" si="292"/>
        <v>0</v>
      </c>
      <c r="AY156" s="980">
        <f t="shared" si="293"/>
        <v>0</v>
      </c>
      <c r="AZ156" s="892">
        <f t="shared" si="293"/>
        <v>0</v>
      </c>
      <c r="BA156" s="892">
        <f t="shared" si="293"/>
        <v>0</v>
      </c>
      <c r="BB156" s="892">
        <f t="shared" si="293"/>
        <v>0</v>
      </c>
      <c r="BC156" s="984">
        <f t="shared" si="294"/>
        <v>0</v>
      </c>
      <c r="BD156" s="885">
        <f t="shared" si="295"/>
        <v>0</v>
      </c>
      <c r="BE156" s="885">
        <f t="shared" si="295"/>
        <v>0</v>
      </c>
      <c r="BF156" s="885">
        <f t="shared" si="295"/>
        <v>0</v>
      </c>
      <c r="BG156" s="893">
        <f t="shared" si="296"/>
        <v>0</v>
      </c>
      <c r="BH156" s="892">
        <f t="shared" si="297"/>
        <v>0</v>
      </c>
      <c r="BI156" s="894">
        <f t="shared" si="298"/>
        <v>0</v>
      </c>
      <c r="BJ156" s="890">
        <f t="shared" si="299"/>
        <v>0</v>
      </c>
      <c r="BK156" s="874"/>
      <c r="BL156" s="984">
        <f t="shared" si="300"/>
        <v>0</v>
      </c>
      <c r="BM156" s="885">
        <f t="shared" si="301"/>
        <v>0</v>
      </c>
      <c r="BN156" s="885">
        <f t="shared" si="301"/>
        <v>0</v>
      </c>
      <c r="BO156" s="885">
        <f t="shared" si="301"/>
        <v>0</v>
      </c>
      <c r="BP156" s="980">
        <f t="shared" si="302"/>
        <v>0</v>
      </c>
      <c r="BQ156" s="892">
        <f t="shared" si="302"/>
        <v>0</v>
      </c>
      <c r="BR156" s="892">
        <f t="shared" si="302"/>
        <v>0</v>
      </c>
      <c r="BS156" s="894">
        <f t="shared" si="302"/>
        <v>0</v>
      </c>
      <c r="BT156" s="874"/>
      <c r="BU156" s="984">
        <f t="shared" si="303"/>
        <v>0</v>
      </c>
      <c r="BV156" s="885">
        <f t="shared" si="304"/>
        <v>0</v>
      </c>
      <c r="BW156" s="885">
        <f t="shared" si="304"/>
        <v>0</v>
      </c>
      <c r="BX156" s="885">
        <f t="shared" si="304"/>
        <v>0</v>
      </c>
      <c r="BY156" s="980">
        <f t="shared" si="305"/>
        <v>0</v>
      </c>
      <c r="BZ156" s="892">
        <f t="shared" si="305"/>
        <v>0</v>
      </c>
      <c r="CA156" s="892">
        <f t="shared" si="305"/>
        <v>0</v>
      </c>
      <c r="CB156" s="894">
        <f t="shared" si="305"/>
        <v>0</v>
      </c>
      <c r="CC156" s="874"/>
      <c r="CD156" s="874"/>
      <c r="CE156" s="874"/>
      <c r="CF156" s="874"/>
      <c r="CG156" s="874"/>
      <c r="CH156" s="874"/>
      <c r="CI156" s="874"/>
      <c r="CJ156" s="874"/>
      <c r="CK156" s="874"/>
      <c r="CL156" s="874"/>
      <c r="CM156" s="874"/>
      <c r="CN156" s="874"/>
      <c r="CO156" s="874"/>
      <c r="CP156" s="874"/>
      <c r="CQ156" s="874"/>
      <c r="CR156" s="874"/>
      <c r="CS156" s="874"/>
      <c r="CT156" s="874"/>
      <c r="CU156" s="874"/>
      <c r="CV156" s="874"/>
      <c r="CW156" s="874"/>
      <c r="CX156" s="874"/>
      <c r="CY156" s="874"/>
      <c r="CZ156" s="874"/>
      <c r="DA156" s="874"/>
      <c r="DB156" s="874"/>
      <c r="DC156" s="874"/>
      <c r="DD156" s="874"/>
      <c r="DE156" s="874"/>
      <c r="DF156" s="874"/>
      <c r="DG156" s="874"/>
      <c r="DH156" s="874"/>
      <c r="DI156" s="874"/>
      <c r="DJ156" s="874"/>
      <c r="DK156" s="874"/>
      <c r="DL156" s="874"/>
      <c r="DM156" s="874"/>
      <c r="DN156" s="874"/>
      <c r="DO156" s="874"/>
      <c r="DP156" s="874"/>
      <c r="DQ156" s="874"/>
      <c r="DR156" s="874"/>
      <c r="DS156" s="874"/>
      <c r="DT156" s="874"/>
      <c r="DU156" s="874"/>
      <c r="DV156" s="874"/>
      <c r="DW156" s="874"/>
      <c r="DX156" s="874"/>
      <c r="DY156" s="874"/>
      <c r="DZ156" s="874"/>
      <c r="EA156" s="874"/>
    </row>
    <row r="157" spans="1:131" ht="21" hidden="1" outlineLevel="1" thickBot="1">
      <c r="A157" s="883" t="s">
        <v>723</v>
      </c>
      <c r="B157" s="984">
        <f t="shared" si="280"/>
        <v>0</v>
      </c>
      <c r="C157" s="909">
        <v>0</v>
      </c>
      <c r="D157" s="909">
        <v>0</v>
      </c>
      <c r="E157" s="909">
        <v>0</v>
      </c>
      <c r="F157" s="886">
        <f t="shared" si="281"/>
        <v>0</v>
      </c>
      <c r="G157" s="984">
        <f t="shared" si="282"/>
        <v>0</v>
      </c>
      <c r="H157" s="909">
        <v>0</v>
      </c>
      <c r="I157" s="909">
        <v>0</v>
      </c>
      <c r="J157" s="909">
        <v>0</v>
      </c>
      <c r="K157" s="886">
        <f t="shared" si="283"/>
        <v>0</v>
      </c>
      <c r="L157" s="984">
        <f t="shared" si="284"/>
        <v>0</v>
      </c>
      <c r="M157" s="909">
        <v>0</v>
      </c>
      <c r="N157" s="909">
        <v>0</v>
      </c>
      <c r="O157" s="909">
        <v>0</v>
      </c>
      <c r="P157" s="887">
        <f t="shared" si="285"/>
        <v>0</v>
      </c>
      <c r="Q157" s="910"/>
      <c r="R157" s="911"/>
      <c r="S157" s="912"/>
      <c r="T157" s="985"/>
      <c r="U157" s="911"/>
      <c r="V157" s="912"/>
      <c r="W157" s="984">
        <f t="shared" si="286"/>
        <v>0</v>
      </c>
      <c r="X157" s="885">
        <f t="shared" si="287"/>
        <v>0</v>
      </c>
      <c r="Y157" s="885">
        <f t="shared" si="287"/>
        <v>0</v>
      </c>
      <c r="Z157" s="885">
        <f t="shared" si="287"/>
        <v>0</v>
      </c>
      <c r="AA157" s="886">
        <f t="shared" si="288"/>
        <v>0</v>
      </c>
      <c r="AB157" s="984">
        <f t="shared" si="289"/>
        <v>0</v>
      </c>
      <c r="AC157" s="911"/>
      <c r="AD157" s="911"/>
      <c r="AE157" s="911"/>
      <c r="AF157" s="886">
        <f t="shared" si="290"/>
        <v>0</v>
      </c>
      <c r="AG157" s="910"/>
      <c r="AH157" s="911"/>
      <c r="AI157" s="912"/>
      <c r="AJ157" s="910"/>
      <c r="AK157" s="911"/>
      <c r="AL157" s="912"/>
      <c r="AM157" s="910"/>
      <c r="AN157" s="911"/>
      <c r="AO157" s="912"/>
      <c r="AP157" s="910"/>
      <c r="AQ157" s="911"/>
      <c r="AR157" s="912"/>
      <c r="AS157" s="912"/>
      <c r="AT157" s="874"/>
      <c r="AU157" s="984">
        <f t="shared" si="291"/>
        <v>0</v>
      </c>
      <c r="AV157" s="885">
        <f t="shared" si="292"/>
        <v>0</v>
      </c>
      <c r="AW157" s="885">
        <f t="shared" si="292"/>
        <v>0</v>
      </c>
      <c r="AX157" s="885">
        <f t="shared" si="292"/>
        <v>0</v>
      </c>
      <c r="AY157" s="980">
        <f t="shared" si="293"/>
        <v>0</v>
      </c>
      <c r="AZ157" s="892">
        <f t="shared" si="293"/>
        <v>0</v>
      </c>
      <c r="BA157" s="892">
        <f t="shared" si="293"/>
        <v>0</v>
      </c>
      <c r="BB157" s="892">
        <f t="shared" si="293"/>
        <v>0</v>
      </c>
      <c r="BC157" s="984">
        <f t="shared" si="294"/>
        <v>0</v>
      </c>
      <c r="BD157" s="885">
        <f t="shared" si="295"/>
        <v>0</v>
      </c>
      <c r="BE157" s="885">
        <f t="shared" si="295"/>
        <v>0</v>
      </c>
      <c r="BF157" s="885">
        <f t="shared" si="295"/>
        <v>0</v>
      </c>
      <c r="BG157" s="893">
        <f t="shared" si="296"/>
        <v>0</v>
      </c>
      <c r="BH157" s="892">
        <f t="shared" si="297"/>
        <v>0</v>
      </c>
      <c r="BI157" s="894">
        <f t="shared" si="298"/>
        <v>0</v>
      </c>
      <c r="BJ157" s="890">
        <f t="shared" si="299"/>
        <v>0</v>
      </c>
      <c r="BK157" s="874"/>
      <c r="BL157" s="984">
        <f t="shared" si="300"/>
        <v>0</v>
      </c>
      <c r="BM157" s="885">
        <f t="shared" si="301"/>
        <v>0</v>
      </c>
      <c r="BN157" s="885">
        <f t="shared" si="301"/>
        <v>0</v>
      </c>
      <c r="BO157" s="885">
        <f t="shared" si="301"/>
        <v>0</v>
      </c>
      <c r="BP157" s="980">
        <f t="shared" si="302"/>
        <v>0</v>
      </c>
      <c r="BQ157" s="892">
        <f t="shared" si="302"/>
        <v>0</v>
      </c>
      <c r="BR157" s="892">
        <f t="shared" si="302"/>
        <v>0</v>
      </c>
      <c r="BS157" s="894">
        <f t="shared" si="302"/>
        <v>0</v>
      </c>
      <c r="BT157" s="874"/>
      <c r="BU157" s="984">
        <f t="shared" si="303"/>
        <v>0</v>
      </c>
      <c r="BV157" s="885">
        <f t="shared" si="304"/>
        <v>0</v>
      </c>
      <c r="BW157" s="885">
        <f t="shared" si="304"/>
        <v>0</v>
      </c>
      <c r="BX157" s="885">
        <f t="shared" si="304"/>
        <v>0</v>
      </c>
      <c r="BY157" s="980">
        <f t="shared" si="305"/>
        <v>0</v>
      </c>
      <c r="BZ157" s="892">
        <f t="shared" si="305"/>
        <v>0</v>
      </c>
      <c r="CA157" s="892">
        <f t="shared" si="305"/>
        <v>0</v>
      </c>
      <c r="CB157" s="894">
        <f t="shared" si="305"/>
        <v>0</v>
      </c>
      <c r="CC157" s="874"/>
      <c r="CD157" s="874"/>
      <c r="CE157" s="874"/>
      <c r="CF157" s="874"/>
      <c r="CG157" s="874"/>
      <c r="CH157" s="874"/>
      <c r="CI157" s="874"/>
      <c r="CJ157" s="874"/>
      <c r="CK157" s="874"/>
      <c r="CL157" s="874"/>
      <c r="CM157" s="874"/>
      <c r="CN157" s="874"/>
      <c r="CO157" s="874"/>
      <c r="CP157" s="874"/>
      <c r="CQ157" s="874"/>
      <c r="CR157" s="874"/>
      <c r="CS157" s="874"/>
      <c r="CT157" s="874"/>
      <c r="CU157" s="874"/>
      <c r="CV157" s="874"/>
      <c r="CW157" s="874"/>
      <c r="CX157" s="874"/>
      <c r="CY157" s="874"/>
      <c r="CZ157" s="874"/>
      <c r="DA157" s="874"/>
      <c r="DB157" s="874"/>
      <c r="DC157" s="874"/>
      <c r="DD157" s="874"/>
      <c r="DE157" s="874"/>
      <c r="DF157" s="874"/>
      <c r="DG157" s="874"/>
      <c r="DH157" s="874"/>
      <c r="DI157" s="874"/>
      <c r="DJ157" s="874"/>
      <c r="DK157" s="874"/>
      <c r="DL157" s="874"/>
      <c r="DM157" s="874"/>
      <c r="DN157" s="874"/>
      <c r="DO157" s="874"/>
      <c r="DP157" s="874"/>
      <c r="DQ157" s="874"/>
      <c r="DR157" s="874"/>
      <c r="DS157" s="874"/>
      <c r="DT157" s="874"/>
      <c r="DU157" s="874"/>
      <c r="DV157" s="874"/>
      <c r="DW157" s="874"/>
      <c r="DX157" s="874"/>
      <c r="DY157" s="874"/>
      <c r="DZ157" s="874"/>
      <c r="EA157" s="874"/>
    </row>
    <row r="158" spans="1:131" ht="21" hidden="1" outlineLevel="1" thickBot="1">
      <c r="A158" s="986" t="s">
        <v>724</v>
      </c>
      <c r="B158" s="987">
        <f t="shared" si="280"/>
        <v>0</v>
      </c>
      <c r="C158" s="988">
        <v>0</v>
      </c>
      <c r="D158" s="988">
        <v>0</v>
      </c>
      <c r="E158" s="988">
        <v>0</v>
      </c>
      <c r="F158" s="989">
        <f t="shared" si="281"/>
        <v>0</v>
      </c>
      <c r="G158" s="987">
        <f t="shared" si="282"/>
        <v>0</v>
      </c>
      <c r="H158" s="988">
        <v>0</v>
      </c>
      <c r="I158" s="988">
        <v>0</v>
      </c>
      <c r="J158" s="988">
        <v>0</v>
      </c>
      <c r="K158" s="989">
        <f t="shared" si="283"/>
        <v>0</v>
      </c>
      <c r="L158" s="987">
        <f t="shared" si="284"/>
        <v>0</v>
      </c>
      <c r="M158" s="988">
        <v>0</v>
      </c>
      <c r="N158" s="988">
        <v>0</v>
      </c>
      <c r="O158" s="988">
        <v>0</v>
      </c>
      <c r="P158" s="990">
        <f t="shared" si="285"/>
        <v>0</v>
      </c>
      <c r="Q158" s="991"/>
      <c r="R158" s="992"/>
      <c r="S158" s="993"/>
      <c r="T158" s="994"/>
      <c r="U158" s="992"/>
      <c r="V158" s="993"/>
      <c r="W158" s="987">
        <f t="shared" si="286"/>
        <v>0</v>
      </c>
      <c r="X158" s="995">
        <f t="shared" si="287"/>
        <v>0</v>
      </c>
      <c r="Y158" s="995">
        <f t="shared" si="287"/>
        <v>0</v>
      </c>
      <c r="Z158" s="995">
        <f t="shared" si="287"/>
        <v>0</v>
      </c>
      <c r="AA158" s="989">
        <f t="shared" si="288"/>
        <v>0</v>
      </c>
      <c r="AB158" s="987">
        <f t="shared" si="289"/>
        <v>0</v>
      </c>
      <c r="AC158" s="992"/>
      <c r="AD158" s="992"/>
      <c r="AE158" s="992"/>
      <c r="AF158" s="989">
        <f t="shared" si="290"/>
        <v>0</v>
      </c>
      <c r="AG158" s="991"/>
      <c r="AH158" s="992"/>
      <c r="AI158" s="993"/>
      <c r="AJ158" s="991"/>
      <c r="AK158" s="992"/>
      <c r="AL158" s="993"/>
      <c r="AM158" s="991"/>
      <c r="AN158" s="992"/>
      <c r="AO158" s="993"/>
      <c r="AP158" s="991"/>
      <c r="AQ158" s="992"/>
      <c r="AR158" s="993"/>
      <c r="AS158" s="993"/>
      <c r="AT158" s="874"/>
      <c r="AU158" s="987">
        <f t="shared" si="291"/>
        <v>0</v>
      </c>
      <c r="AV158" s="995">
        <f t="shared" si="292"/>
        <v>0</v>
      </c>
      <c r="AW158" s="995">
        <f t="shared" si="292"/>
        <v>0</v>
      </c>
      <c r="AX158" s="995">
        <f t="shared" si="292"/>
        <v>0</v>
      </c>
      <c r="AY158" s="996">
        <f t="shared" si="293"/>
        <v>0</v>
      </c>
      <c r="AZ158" s="997">
        <f t="shared" si="293"/>
        <v>0</v>
      </c>
      <c r="BA158" s="997">
        <f t="shared" si="293"/>
        <v>0</v>
      </c>
      <c r="BB158" s="997">
        <f t="shared" si="293"/>
        <v>0</v>
      </c>
      <c r="BC158" s="987">
        <f t="shared" si="294"/>
        <v>0</v>
      </c>
      <c r="BD158" s="995">
        <f t="shared" si="295"/>
        <v>0</v>
      </c>
      <c r="BE158" s="995">
        <f t="shared" si="295"/>
        <v>0</v>
      </c>
      <c r="BF158" s="995">
        <f t="shared" si="295"/>
        <v>0</v>
      </c>
      <c r="BG158" s="998">
        <f t="shared" si="296"/>
        <v>0</v>
      </c>
      <c r="BH158" s="997">
        <f t="shared" si="297"/>
        <v>0</v>
      </c>
      <c r="BI158" s="999">
        <f t="shared" si="298"/>
        <v>0</v>
      </c>
      <c r="BJ158" s="1000">
        <f t="shared" si="299"/>
        <v>0</v>
      </c>
      <c r="BK158" s="874"/>
      <c r="BL158" s="987">
        <f t="shared" si="300"/>
        <v>0</v>
      </c>
      <c r="BM158" s="995">
        <f t="shared" si="301"/>
        <v>0</v>
      </c>
      <c r="BN158" s="995">
        <f t="shared" si="301"/>
        <v>0</v>
      </c>
      <c r="BO158" s="995">
        <f t="shared" si="301"/>
        <v>0</v>
      </c>
      <c r="BP158" s="996">
        <f t="shared" si="302"/>
        <v>0</v>
      </c>
      <c r="BQ158" s="997">
        <f t="shared" si="302"/>
        <v>0</v>
      </c>
      <c r="BR158" s="997">
        <f t="shared" si="302"/>
        <v>0</v>
      </c>
      <c r="BS158" s="999">
        <f t="shared" si="302"/>
        <v>0</v>
      </c>
      <c r="BT158" s="874"/>
      <c r="BU158" s="987">
        <f t="shared" si="303"/>
        <v>0</v>
      </c>
      <c r="BV158" s="995">
        <f t="shared" si="304"/>
        <v>0</v>
      </c>
      <c r="BW158" s="995">
        <f t="shared" si="304"/>
        <v>0</v>
      </c>
      <c r="BX158" s="995">
        <f t="shared" si="304"/>
        <v>0</v>
      </c>
      <c r="BY158" s="996">
        <f t="shared" si="305"/>
        <v>0</v>
      </c>
      <c r="BZ158" s="997">
        <f t="shared" si="305"/>
        <v>0</v>
      </c>
      <c r="CA158" s="997">
        <f t="shared" si="305"/>
        <v>0</v>
      </c>
      <c r="CB158" s="999">
        <f t="shared" si="305"/>
        <v>0</v>
      </c>
      <c r="CC158" s="874"/>
      <c r="CD158" s="874"/>
      <c r="CE158" s="874"/>
      <c r="CF158" s="874"/>
      <c r="CG158" s="874"/>
      <c r="CH158" s="874"/>
      <c r="CI158" s="874"/>
      <c r="CJ158" s="874"/>
      <c r="CK158" s="874"/>
      <c r="CL158" s="874"/>
      <c r="CM158" s="874"/>
      <c r="CN158" s="874"/>
      <c r="CO158" s="874"/>
      <c r="CP158" s="874"/>
      <c r="CQ158" s="874"/>
      <c r="CR158" s="874"/>
      <c r="CS158" s="874"/>
      <c r="CT158" s="874"/>
      <c r="CU158" s="874"/>
      <c r="CV158" s="874"/>
      <c r="CW158" s="874"/>
      <c r="CX158" s="874"/>
      <c r="CY158" s="874"/>
      <c r="CZ158" s="874"/>
      <c r="DA158" s="874"/>
      <c r="DB158" s="874"/>
      <c r="DC158" s="874"/>
      <c r="DD158" s="874"/>
      <c r="DE158" s="874"/>
      <c r="DF158" s="874"/>
      <c r="DG158" s="874"/>
      <c r="DH158" s="874"/>
      <c r="DI158" s="874"/>
      <c r="DJ158" s="874"/>
      <c r="DK158" s="874"/>
      <c r="DL158" s="874"/>
      <c r="DM158" s="874"/>
      <c r="DN158" s="874"/>
      <c r="DO158" s="874"/>
      <c r="DP158" s="874"/>
      <c r="DQ158" s="874"/>
      <c r="DR158" s="874"/>
      <c r="DS158" s="874"/>
      <c r="DT158" s="874"/>
      <c r="DU158" s="874"/>
      <c r="DV158" s="874"/>
      <c r="DW158" s="874"/>
      <c r="DX158" s="874"/>
      <c r="DY158" s="874"/>
      <c r="DZ158" s="874"/>
      <c r="EA158" s="874"/>
    </row>
    <row r="159" spans="1:131" s="942" customFormat="1" ht="10.5" customHeight="1" collapsed="1" thickBot="1">
      <c r="A159" s="1001"/>
      <c r="B159" s="1002"/>
      <c r="C159" s="1002"/>
      <c r="D159" s="1002"/>
      <c r="E159" s="1002"/>
      <c r="F159" s="1002"/>
      <c r="G159" s="1002"/>
      <c r="H159" s="1002"/>
      <c r="I159" s="1002"/>
      <c r="J159" s="1002"/>
      <c r="K159" s="1002"/>
      <c r="L159" s="1002"/>
      <c r="M159" s="1002"/>
      <c r="N159" s="1002"/>
      <c r="O159" s="1002"/>
      <c r="P159" s="1002"/>
      <c r="Q159" s="1002"/>
      <c r="R159" s="1002"/>
      <c r="S159" s="1002"/>
      <c r="T159" s="1002"/>
      <c r="U159" s="1002"/>
      <c r="V159" s="1002"/>
      <c r="W159" s="1002"/>
      <c r="X159" s="1002"/>
      <c r="Y159" s="1002"/>
      <c r="Z159" s="1002"/>
      <c r="AA159" s="1002"/>
      <c r="AB159" s="1002"/>
      <c r="AC159" s="1002"/>
      <c r="AD159" s="1002"/>
      <c r="AE159" s="1002"/>
      <c r="AF159" s="1002"/>
      <c r="AG159" s="1002"/>
      <c r="AH159" s="1002"/>
      <c r="AI159" s="1002"/>
      <c r="AJ159" s="1002"/>
      <c r="AK159" s="1002"/>
      <c r="AL159" s="1002"/>
      <c r="AM159" s="1002"/>
      <c r="AN159" s="1002"/>
      <c r="AO159" s="1002"/>
      <c r="AP159" s="1002"/>
      <c r="AQ159" s="1002"/>
      <c r="AR159" s="1002"/>
      <c r="AS159" s="1002"/>
      <c r="AT159" s="874"/>
      <c r="AU159" s="1002"/>
      <c r="AV159" s="1002"/>
      <c r="AW159" s="1002"/>
      <c r="AX159" s="1002"/>
      <c r="AY159" s="1002"/>
      <c r="AZ159" s="1002"/>
      <c r="BA159" s="1002"/>
      <c r="BB159" s="1002"/>
      <c r="BC159" s="1002"/>
      <c r="BD159" s="1002"/>
      <c r="BE159" s="1002"/>
      <c r="BF159" s="1002"/>
      <c r="BG159" s="939"/>
      <c r="BH159" s="939"/>
      <c r="BI159" s="939"/>
      <c r="BJ159" s="1002"/>
      <c r="BK159" s="874"/>
      <c r="BL159" s="940"/>
      <c r="BM159" s="940"/>
      <c r="BN159" s="940"/>
      <c r="BO159" s="940"/>
      <c r="BP159" s="940"/>
      <c r="BQ159" s="940"/>
      <c r="BR159" s="940"/>
      <c r="BS159" s="940"/>
      <c r="BT159" s="874"/>
      <c r="BU159" s="940"/>
      <c r="BV159" s="940"/>
      <c r="BW159" s="940"/>
      <c r="BX159" s="940"/>
      <c r="BY159" s="941"/>
      <c r="BZ159" s="941"/>
      <c r="CA159" s="941"/>
      <c r="CB159" s="941"/>
      <c r="CC159" s="874"/>
      <c r="CD159" s="874"/>
      <c r="CE159" s="874"/>
      <c r="CF159" s="874"/>
      <c r="CG159" s="874"/>
      <c r="CH159" s="874"/>
      <c r="CI159" s="874"/>
      <c r="CJ159" s="874"/>
      <c r="CK159" s="874"/>
      <c r="CL159" s="874"/>
      <c r="CM159" s="874"/>
      <c r="CN159" s="874"/>
      <c r="CO159" s="874"/>
      <c r="CP159" s="874"/>
      <c r="CQ159" s="874"/>
      <c r="CR159" s="874"/>
      <c r="CS159" s="874"/>
      <c r="CT159" s="874"/>
      <c r="CU159" s="874"/>
      <c r="CV159" s="874"/>
      <c r="CW159" s="874"/>
      <c r="CX159" s="874"/>
      <c r="CY159" s="874"/>
      <c r="CZ159" s="874"/>
      <c r="DA159" s="874"/>
      <c r="DB159" s="874"/>
      <c r="DC159" s="874"/>
      <c r="DD159" s="874"/>
      <c r="DE159" s="874"/>
      <c r="DF159" s="874"/>
      <c r="DG159" s="874"/>
      <c r="DH159" s="874"/>
      <c r="DI159" s="874"/>
      <c r="DJ159" s="874"/>
      <c r="DK159" s="874"/>
      <c r="DL159" s="874"/>
      <c r="DM159" s="874"/>
      <c r="DN159" s="874"/>
      <c r="DO159" s="874"/>
      <c r="DP159" s="874"/>
      <c r="DQ159" s="874"/>
      <c r="DR159" s="874"/>
      <c r="DS159" s="874"/>
      <c r="DT159" s="874"/>
      <c r="DU159" s="874"/>
      <c r="DV159" s="874"/>
      <c r="DW159" s="874"/>
      <c r="DX159" s="874"/>
      <c r="DY159" s="874"/>
      <c r="DZ159" s="874"/>
      <c r="EA159" s="874"/>
    </row>
    <row r="160" spans="1:131" s="1005" customFormat="1" ht="52.5" customHeight="1" thickBot="1">
      <c r="A160" s="943" t="s">
        <v>725</v>
      </c>
      <c r="B160" s="944">
        <f>IF(B153+B19=C160+D160,C160+D160,"CHYBA")</f>
        <v>23851452362</v>
      </c>
      <c r="C160" s="953">
        <f>C19+C153</f>
        <v>295143065</v>
      </c>
      <c r="D160" s="953">
        <f>D19+D153</f>
        <v>23556309297</v>
      </c>
      <c r="E160" s="953">
        <f>E19+E153</f>
        <v>64489</v>
      </c>
      <c r="F160" s="947">
        <f>IF(E160=0,0,ROUND(D160/E160/12,0))</f>
        <v>30440</v>
      </c>
      <c r="G160" s="944">
        <f>IF(G153+G19=H160+I160,H160+I160,"CHYBA")</f>
        <v>24673802521</v>
      </c>
      <c r="H160" s="953">
        <f>H19+H153</f>
        <v>290702787</v>
      </c>
      <c r="I160" s="953">
        <f>I19+I153</f>
        <v>24383099734</v>
      </c>
      <c r="J160" s="953">
        <f>J19+J153</f>
        <v>66168</v>
      </c>
      <c r="K160" s="947">
        <f>IF(J160=0,0,ROUND(I160/J160/12,0))</f>
        <v>30709</v>
      </c>
      <c r="L160" s="944">
        <f>IF(L153+L19=M160+N160,M160+N160,"CHYBA")</f>
        <v>25228723499</v>
      </c>
      <c r="M160" s="953">
        <f>M19+M153</f>
        <v>312911886</v>
      </c>
      <c r="N160" s="953">
        <f>N19+N153</f>
        <v>24915811613</v>
      </c>
      <c r="O160" s="953">
        <f>O19+O153</f>
        <v>66925</v>
      </c>
      <c r="P160" s="948">
        <f>IF(O160=0,0,ROUND(N160/O160/12,0))</f>
        <v>31025</v>
      </c>
      <c r="Q160" s="944">
        <f t="shared" ref="Q160:V160" si="306">Q19+Q153</f>
        <v>33485060.970000003</v>
      </c>
      <c r="R160" s="953">
        <f t="shared" si="306"/>
        <v>335364013.94999999</v>
      </c>
      <c r="S160" s="1003">
        <f t="shared" si="306"/>
        <v>89</v>
      </c>
      <c r="T160" s="944">
        <f t="shared" si="306"/>
        <v>0</v>
      </c>
      <c r="U160" s="953">
        <f t="shared" si="306"/>
        <v>0</v>
      </c>
      <c r="V160" s="1003">
        <f t="shared" si="306"/>
        <v>0</v>
      </c>
      <c r="W160" s="944">
        <f>IF(W153+W19=X160+Y160,X160+Y160,"CHYBA")</f>
        <v>25597572573.920002</v>
      </c>
      <c r="X160" s="953">
        <f>X19+X153</f>
        <v>346396946.97000003</v>
      </c>
      <c r="Y160" s="953">
        <f>Y19+Y153</f>
        <v>25251175626.950001</v>
      </c>
      <c r="Z160" s="953">
        <f>Z19+Z153</f>
        <v>67014</v>
      </c>
      <c r="AA160" s="947">
        <f>IF(Z160=0,0,ROUND(Y160/Z160/12,0))</f>
        <v>31400</v>
      </c>
      <c r="AB160" s="944">
        <f>IF(AB153+AB19=AC160+AD160,AC160+AD160,"CHYBA")</f>
        <v>25423893972.449997</v>
      </c>
      <c r="AC160" s="953">
        <f>AC19+AC153</f>
        <v>318703982.44</v>
      </c>
      <c r="AD160" s="953">
        <f>AD19+AD153</f>
        <v>25105189990.009998</v>
      </c>
      <c r="AE160" s="953">
        <f>AE19+AE153</f>
        <v>65366</v>
      </c>
      <c r="AF160" s="947">
        <f>IF(AE160=0,0,ROUND(AD160/AE160/12,0))</f>
        <v>32006</v>
      </c>
      <c r="AG160" s="944">
        <f t="shared" ref="AG160:AS160" si="307">AG19+AG153</f>
        <v>25317453.449999999</v>
      </c>
      <c r="AH160" s="953">
        <f t="shared" si="307"/>
        <v>267950514.92000002</v>
      </c>
      <c r="AI160" s="1003">
        <f t="shared" si="307"/>
        <v>82</v>
      </c>
      <c r="AJ160" s="944">
        <f t="shared" si="307"/>
        <v>7685146</v>
      </c>
      <c r="AK160" s="953">
        <f t="shared" si="307"/>
        <v>2671500</v>
      </c>
      <c r="AL160" s="1003">
        <f t="shared" si="307"/>
        <v>0</v>
      </c>
      <c r="AM160" s="944">
        <f t="shared" si="307"/>
        <v>2188357</v>
      </c>
      <c r="AN160" s="953">
        <f t="shared" si="307"/>
        <v>27773039.100000001</v>
      </c>
      <c r="AO160" s="1003">
        <f t="shared" si="307"/>
        <v>0</v>
      </c>
      <c r="AP160" s="944">
        <f t="shared" si="307"/>
        <v>0</v>
      </c>
      <c r="AQ160" s="953">
        <f t="shared" si="307"/>
        <v>0</v>
      </c>
      <c r="AR160" s="1003">
        <f t="shared" si="307"/>
        <v>0</v>
      </c>
      <c r="AS160" s="1003">
        <f t="shared" si="307"/>
        <v>6597982</v>
      </c>
      <c r="AT160" s="874"/>
      <c r="AU160" s="944">
        <f>IF(AU153+AU19=AV160+AW160,AV160+AW160,"CHYBA")</f>
        <v>195344531.44999945</v>
      </c>
      <c r="AV160" s="953">
        <f>AV19+AV153</f>
        <v>5792096.4399999976</v>
      </c>
      <c r="AW160" s="953">
        <f>AW19+AW153</f>
        <v>189552435.00999945</v>
      </c>
      <c r="AX160" s="953">
        <f>AX19+AX153</f>
        <v>-1559</v>
      </c>
      <c r="AY160" s="956">
        <f>IF(L160=0,0,AB160/L160*100)</f>
        <v>100.77360423510025</v>
      </c>
      <c r="AZ160" s="957">
        <f>IF(M160=0,0,AC160/M160*100)</f>
        <v>101.85103113660566</v>
      </c>
      <c r="BA160" s="957">
        <f>IF(N160=0,0,AD160/N160*100)</f>
        <v>100.76007308110802</v>
      </c>
      <c r="BB160" s="957">
        <f>IF(O160=0,0,AE160/O160*100)</f>
        <v>97.670526709002615</v>
      </c>
      <c r="BC160" s="944">
        <f>IF(BC153+BC19=BD160+BE160,BD160+BE160,"CHYBA")</f>
        <v>-138241479.02000055</v>
      </c>
      <c r="BD160" s="953">
        <f>BD19+BD153</f>
        <v>-29398860.010000002</v>
      </c>
      <c r="BE160" s="953">
        <f>BE19+BE153</f>
        <v>-108842619.01000056</v>
      </c>
      <c r="BF160" s="953">
        <f>BF19+BF153</f>
        <v>-1641</v>
      </c>
      <c r="BG160" s="956">
        <f>IF(F160=0,0,AF160/F160*100)</f>
        <v>105.14454664914585</v>
      </c>
      <c r="BH160" s="957">
        <f>IF(K160=0,0,AF160/K160*100)</f>
        <v>104.22351753557588</v>
      </c>
      <c r="BI160" s="960">
        <f>IF(P160=0,0,AF160/P160*100)</f>
        <v>103.16196615632553</v>
      </c>
      <c r="BJ160" s="1004">
        <f>BJ19+BJ153</f>
        <v>6597982</v>
      </c>
      <c r="BK160" s="874"/>
      <c r="BL160" s="944">
        <f>IF(BL153+BL19=BM160+BN160,BM160+BN160,"CHYBA")</f>
        <v>-173504543.4700003</v>
      </c>
      <c r="BM160" s="953">
        <f>BM19+BM153</f>
        <v>-27692964.530000001</v>
      </c>
      <c r="BN160" s="953">
        <f>BN19+BN153</f>
        <v>-145811578.9400003</v>
      </c>
      <c r="BO160" s="953">
        <f>BO19+BO153</f>
        <v>-1648</v>
      </c>
      <c r="BP160" s="956">
        <f>IF(W160=0,0,AB160/W160*100)</f>
        <v>99.321503627078471</v>
      </c>
      <c r="BQ160" s="957">
        <f>IF(X160=0,0,AC160/X160*100)</f>
        <v>92.005424767095761</v>
      </c>
      <c r="BR160" s="957">
        <f>IF(Y160=0,0,AD160/Y160*100)</f>
        <v>99.421865979244956</v>
      </c>
      <c r="BS160" s="960">
        <f>IF(Z160=0,0,AE160/Z160*100)</f>
        <v>97.540812367564982</v>
      </c>
      <c r="BT160" s="874"/>
      <c r="BU160" s="944">
        <f>IF(BU153+BU19=BV160+BW160,BV160+BW160,"CHYBA")</f>
        <v>1571774466.4499998</v>
      </c>
      <c r="BV160" s="953">
        <f>BV19+BV153</f>
        <v>23560917.439999998</v>
      </c>
      <c r="BW160" s="953">
        <f>BW19+BW153</f>
        <v>1548213549.0099998</v>
      </c>
      <c r="BX160" s="953">
        <f>BX19+BX153</f>
        <v>877</v>
      </c>
      <c r="BY160" s="956">
        <f>IF(B160=0,0,AB160/B160*100)</f>
        <v>106.59264512107951</v>
      </c>
      <c r="BZ160" s="957">
        <f>IF(C160=0,0,AC160/C160*100)</f>
        <v>107.98288024826196</v>
      </c>
      <c r="CA160" s="957">
        <f>IF(D160=0,0,AD160/D160*100)</f>
        <v>106.57522650718147</v>
      </c>
      <c r="CB160" s="960">
        <f>IF(E160=0,0,AE160/E160*100)</f>
        <v>101.35992184713672</v>
      </c>
      <c r="CC160" s="874"/>
      <c r="CD160" s="874"/>
      <c r="CE160" s="874"/>
      <c r="CF160" s="874"/>
      <c r="CG160" s="874"/>
      <c r="CH160" s="874"/>
      <c r="CI160" s="874"/>
      <c r="CJ160" s="874"/>
      <c r="CK160" s="874"/>
      <c r="CL160" s="874"/>
      <c r="CM160" s="874"/>
      <c r="CN160" s="874"/>
      <c r="CO160" s="874"/>
      <c r="CP160" s="874"/>
      <c r="CQ160" s="874"/>
      <c r="CR160" s="874"/>
      <c r="CS160" s="874"/>
      <c r="CT160" s="874"/>
      <c r="CU160" s="874"/>
      <c r="CV160" s="874"/>
      <c r="CW160" s="874"/>
      <c r="CX160" s="874"/>
      <c r="CY160" s="874"/>
      <c r="CZ160" s="874"/>
      <c r="DA160" s="874"/>
      <c r="DB160" s="874"/>
      <c r="DC160" s="874"/>
      <c r="DD160" s="874"/>
      <c r="DE160" s="874"/>
      <c r="DF160" s="874"/>
      <c r="DG160" s="874"/>
      <c r="DH160" s="874"/>
      <c r="DI160" s="874"/>
      <c r="DJ160" s="874"/>
      <c r="DK160" s="874"/>
      <c r="DL160" s="874"/>
      <c r="DM160" s="874"/>
      <c r="DN160" s="874"/>
      <c r="DO160" s="874"/>
      <c r="DP160" s="874"/>
      <c r="DQ160" s="874"/>
      <c r="DR160" s="874"/>
      <c r="DS160" s="874"/>
      <c r="DT160" s="874"/>
      <c r="DU160" s="874"/>
      <c r="DV160" s="874"/>
      <c r="DW160" s="874"/>
      <c r="DX160" s="874"/>
      <c r="DY160" s="874"/>
      <c r="DZ160" s="874"/>
      <c r="EA160" s="874"/>
    </row>
    <row r="161" spans="1:34" s="942" customFormat="1" ht="5.25" customHeight="1">
      <c r="A161" s="1006"/>
      <c r="B161" s="1006"/>
      <c r="C161" s="1006"/>
      <c r="D161" s="1006"/>
      <c r="E161" s="1006"/>
      <c r="F161" s="1006"/>
      <c r="G161" s="1007"/>
      <c r="H161" s="1007"/>
      <c r="I161" s="1007"/>
      <c r="J161" s="1007"/>
      <c r="K161" s="1007"/>
      <c r="M161" s="874"/>
      <c r="N161" s="874"/>
      <c r="O161" s="874"/>
      <c r="P161" s="874"/>
      <c r="Q161" s="874"/>
    </row>
    <row r="162" spans="1:34" s="1008" customFormat="1" ht="15" customHeight="1">
      <c r="G162" s="1009"/>
      <c r="H162" s="1009"/>
      <c r="I162" s="1009"/>
      <c r="J162" s="1009"/>
      <c r="K162" s="1009"/>
      <c r="L162" s="1010"/>
      <c r="Y162" s="1010"/>
    </row>
    <row r="163" spans="1:34" s="1008" customFormat="1" ht="23.25" hidden="1">
      <c r="C163" s="1011"/>
      <c r="D163" s="1011"/>
      <c r="E163" s="1011"/>
      <c r="F163" s="1011"/>
      <c r="G163" s="1012" t="s">
        <v>742</v>
      </c>
      <c r="H163" s="1012"/>
      <c r="I163" s="1012"/>
      <c r="J163" s="1012"/>
      <c r="K163" s="1012"/>
      <c r="L163" s="1012"/>
      <c r="M163" s="1012" t="s">
        <v>743</v>
      </c>
      <c r="N163" s="1012"/>
      <c r="O163" s="1012"/>
      <c r="P163" s="1012"/>
      <c r="Q163" s="1012"/>
      <c r="R163" s="1012"/>
      <c r="S163" s="1012"/>
      <c r="T163" s="1012" t="s">
        <v>744</v>
      </c>
      <c r="W163" s="1010"/>
      <c r="X163" s="1010"/>
      <c r="Y163" s="1010"/>
      <c r="AC163" s="1010"/>
    </row>
    <row r="164" spans="1:34" s="1008" customFormat="1" ht="15" hidden="1" customHeight="1">
      <c r="C164" s="1009"/>
      <c r="D164" s="1009"/>
      <c r="E164" s="1009"/>
      <c r="F164" s="1009"/>
      <c r="G164" s="1009"/>
      <c r="W164" s="1010"/>
      <c r="X164" s="1010"/>
      <c r="AH164" s="1010"/>
    </row>
    <row r="165" spans="1:34" s="1008" customFormat="1" ht="15" hidden="1" customHeight="1">
      <c r="C165" s="1009"/>
      <c r="D165" s="1009"/>
      <c r="E165" s="1009"/>
      <c r="F165" s="1009"/>
      <c r="G165" s="1009"/>
      <c r="M165" s="1010"/>
      <c r="W165" s="1010"/>
      <c r="X165" s="1010"/>
    </row>
    <row r="166" spans="1:34" s="942" customFormat="1" ht="20.100000000000001" hidden="1" customHeight="1">
      <c r="A166" s="1013"/>
      <c r="C166" s="1014"/>
      <c r="D166" s="1015"/>
      <c r="E166" s="1015"/>
      <c r="F166" s="1015"/>
      <c r="G166" s="1016" t="s">
        <v>16</v>
      </c>
      <c r="H166" s="1017"/>
      <c r="I166" s="1017"/>
      <c r="J166" s="1017"/>
      <c r="K166" s="1017"/>
      <c r="L166" s="1015"/>
      <c r="M166" s="1018"/>
      <c r="N166" s="1015"/>
      <c r="O166" s="1015"/>
    </row>
    <row r="167" spans="1:34" ht="20.100000000000001" hidden="1" customHeight="1">
      <c r="B167" s="31"/>
      <c r="C167" s="1019"/>
      <c r="D167" s="1020"/>
      <c r="E167" s="1020"/>
      <c r="F167" s="1020"/>
      <c r="G167" s="1019" t="s">
        <v>726</v>
      </c>
      <c r="H167" s="1020"/>
      <c r="I167" s="1020"/>
      <c r="J167" s="1020"/>
      <c r="K167" s="1020"/>
      <c r="L167" s="1020"/>
      <c r="M167" s="1021"/>
      <c r="N167" s="1020"/>
      <c r="O167" s="1020"/>
    </row>
    <row r="168" spans="1:34" ht="20.100000000000001" hidden="1" customHeight="1">
      <c r="B168" s="31"/>
      <c r="C168" s="1019"/>
      <c r="D168" s="1020"/>
      <c r="E168" s="1020"/>
      <c r="F168" s="1020"/>
      <c r="G168" s="1019" t="s">
        <v>727</v>
      </c>
      <c r="H168" s="1020"/>
      <c r="I168" s="1020"/>
      <c r="J168" s="1020"/>
      <c r="K168" s="1020"/>
      <c r="L168" s="1020"/>
      <c r="M168" s="1021"/>
      <c r="N168" s="1020"/>
      <c r="O168" s="1020"/>
    </row>
    <row r="169" spans="1:34" s="1023" customFormat="1" ht="20.100000000000001" hidden="1" customHeight="1">
      <c r="A169" s="1022"/>
      <c r="C169" s="1019"/>
      <c r="D169" s="1020"/>
      <c r="E169" s="1020"/>
      <c r="F169" s="1020"/>
      <c r="G169" s="1019" t="s">
        <v>728</v>
      </c>
      <c r="H169" s="1020"/>
      <c r="I169" s="1020"/>
      <c r="J169" s="1020"/>
      <c r="K169" s="1020"/>
      <c r="L169" s="1020"/>
      <c r="M169" s="1021"/>
      <c r="N169" s="1020"/>
      <c r="O169" s="1020"/>
    </row>
    <row r="170" spans="1:34" s="1023" customFormat="1" ht="20.100000000000001" hidden="1" customHeight="1">
      <c r="A170" s="1022"/>
      <c r="C170" s="1019"/>
      <c r="D170" s="1020"/>
      <c r="E170" s="1020"/>
      <c r="F170" s="1020"/>
      <c r="G170" s="1019" t="s">
        <v>729</v>
      </c>
      <c r="H170" s="1020"/>
      <c r="I170" s="1020"/>
      <c r="J170" s="1020"/>
      <c r="K170" s="1020"/>
      <c r="L170" s="1020"/>
      <c r="M170" s="1020"/>
      <c r="N170" s="1020"/>
      <c r="O170" s="1020"/>
    </row>
    <row r="171" spans="1:34" s="1023" customFormat="1" ht="20.100000000000001" hidden="1" customHeight="1">
      <c r="A171" s="1022"/>
      <c r="C171" s="1019"/>
      <c r="D171" s="1020"/>
      <c r="E171" s="1020"/>
      <c r="F171" s="1020"/>
      <c r="G171" s="1019"/>
      <c r="H171" s="1020"/>
      <c r="I171" s="1020"/>
      <c r="J171" s="1020"/>
      <c r="K171" s="1020"/>
      <c r="L171" s="1020"/>
      <c r="M171" s="1020"/>
      <c r="N171" s="1020"/>
      <c r="O171" s="1020"/>
    </row>
    <row r="172" spans="1:34" s="1023" customFormat="1" ht="20.100000000000001" hidden="1" customHeight="1">
      <c r="A172" s="1022"/>
      <c r="C172" s="1019"/>
      <c r="D172" s="1020"/>
      <c r="E172" s="1020"/>
      <c r="F172" s="1020"/>
      <c r="G172" s="1019" t="s">
        <v>730</v>
      </c>
      <c r="H172" s="1020"/>
      <c r="I172" s="1020"/>
      <c r="J172" s="1020"/>
      <c r="K172" s="1020"/>
      <c r="L172" s="1020"/>
      <c r="M172" s="1020"/>
      <c r="N172" s="1020"/>
      <c r="O172" s="1020"/>
    </row>
    <row r="173" spans="1:34" s="1023" customFormat="1" ht="20.100000000000001" hidden="1" customHeight="1">
      <c r="A173" s="1022"/>
      <c r="C173" s="1019"/>
      <c r="D173" s="1020"/>
      <c r="E173" s="1020"/>
      <c r="F173" s="1020"/>
      <c r="G173" s="1019" t="s">
        <v>731</v>
      </c>
      <c r="H173" s="1020"/>
      <c r="I173" s="1020"/>
      <c r="J173" s="1020"/>
      <c r="K173" s="1020"/>
      <c r="L173" s="1020"/>
      <c r="M173" s="1020"/>
      <c r="N173" s="1020"/>
      <c r="O173" s="1020"/>
    </row>
    <row r="174" spans="1:34" s="1023" customFormat="1" ht="20.100000000000001" hidden="1" customHeight="1">
      <c r="A174" s="1022"/>
      <c r="C174" s="1019"/>
      <c r="D174" s="1020"/>
      <c r="E174" s="1020"/>
      <c r="F174" s="1020"/>
      <c r="G174" s="1019" t="s">
        <v>732</v>
      </c>
      <c r="H174" s="1020"/>
      <c r="I174" s="1020"/>
      <c r="J174" s="1020"/>
      <c r="K174" s="1020"/>
      <c r="L174" s="1020"/>
      <c r="M174" s="1020"/>
      <c r="N174" s="1020"/>
      <c r="O174" s="1020"/>
    </row>
    <row r="175" spans="1:34" s="1023" customFormat="1" ht="20.100000000000001" hidden="1" customHeight="1">
      <c r="A175" s="1022"/>
      <c r="C175" s="1019"/>
      <c r="D175" s="1020"/>
      <c r="E175" s="1020"/>
      <c r="F175" s="1020"/>
      <c r="G175" s="1019" t="s">
        <v>733</v>
      </c>
      <c r="H175" s="1020"/>
      <c r="I175" s="1020"/>
      <c r="J175" s="1020"/>
      <c r="K175" s="1020"/>
      <c r="L175" s="1020"/>
      <c r="M175" s="1020"/>
      <c r="N175" s="1020"/>
      <c r="O175" s="1020"/>
    </row>
    <row r="176" spans="1:34" s="1023" customFormat="1" ht="20.100000000000001" hidden="1" customHeight="1">
      <c r="A176" s="1022"/>
      <c r="C176" s="1024"/>
      <c r="D176" s="1025"/>
      <c r="E176" s="1025"/>
      <c r="F176" s="1025"/>
      <c r="G176" s="1019" t="s">
        <v>734</v>
      </c>
      <c r="H176" s="1025"/>
      <c r="I176" s="1025"/>
      <c r="J176" s="1025"/>
      <c r="K176" s="1025"/>
      <c r="L176" s="1025"/>
      <c r="M176" s="1025"/>
      <c r="N176" s="1025"/>
      <c r="O176" s="1025"/>
    </row>
    <row r="177" spans="1:45" s="1023" customFormat="1" ht="20.100000000000001" hidden="1" customHeight="1">
      <c r="A177" s="1022"/>
      <c r="C177" s="1024"/>
      <c r="D177" s="1025"/>
      <c r="E177" s="1025"/>
      <c r="F177" s="1025"/>
      <c r="G177" s="1019" t="s">
        <v>735</v>
      </c>
      <c r="H177" s="1025"/>
      <c r="I177" s="1025"/>
      <c r="J177" s="1025"/>
      <c r="K177" s="1025"/>
      <c r="L177" s="1025"/>
      <c r="M177" s="1025"/>
      <c r="N177" s="1025"/>
      <c r="O177" s="1025"/>
    </row>
    <row r="178" spans="1:45" s="1023" customFormat="1" ht="20.100000000000001" hidden="1" customHeight="1">
      <c r="A178" s="1022"/>
      <c r="C178" s="1024"/>
      <c r="D178" s="1025"/>
      <c r="E178" s="1025"/>
      <c r="F178" s="1025"/>
      <c r="G178" s="1019" t="s">
        <v>736</v>
      </c>
      <c r="H178" s="1025"/>
      <c r="I178" s="1025"/>
      <c r="J178" s="1025"/>
      <c r="K178" s="1025"/>
      <c r="L178" s="1025"/>
      <c r="M178" s="1025"/>
      <c r="N178" s="1025"/>
      <c r="O178" s="1025"/>
    </row>
    <row r="179" spans="1:45" s="1023" customFormat="1" ht="20.100000000000001" hidden="1" customHeight="1">
      <c r="A179" s="1022"/>
      <c r="C179" s="1019"/>
      <c r="D179" s="1020"/>
      <c r="E179" s="1020"/>
      <c r="F179" s="1020"/>
      <c r="G179" s="1019"/>
      <c r="H179" s="1020"/>
      <c r="I179" s="1020"/>
      <c r="J179" s="1020"/>
      <c r="K179" s="1020"/>
      <c r="L179" s="1020"/>
      <c r="M179" s="1020"/>
      <c r="N179" s="1020"/>
      <c r="O179" s="1020"/>
    </row>
    <row r="180" spans="1:45" s="1023" customFormat="1" ht="20.100000000000001" hidden="1" customHeight="1">
      <c r="A180" s="1022"/>
      <c r="C180" s="1026"/>
      <c r="D180" s="1027"/>
      <c r="E180" s="1027"/>
      <c r="F180" s="1027"/>
      <c r="G180" s="1026" t="s">
        <v>737</v>
      </c>
      <c r="H180" s="1027"/>
      <c r="I180" s="1027"/>
      <c r="J180" s="1027"/>
      <c r="K180" s="1027"/>
      <c r="L180" s="1027"/>
      <c r="M180" s="1027"/>
      <c r="N180" s="1027"/>
      <c r="O180" s="1027"/>
    </row>
    <row r="181" spans="1:45" s="1023" customFormat="1" ht="20.100000000000001" hidden="1" customHeight="1">
      <c r="A181" s="1022"/>
      <c r="C181" s="1019"/>
      <c r="D181" s="1020"/>
      <c r="E181" s="1020"/>
      <c r="F181" s="1020"/>
      <c r="G181" s="1019"/>
      <c r="H181" s="1020"/>
      <c r="I181" s="1020"/>
      <c r="J181" s="1020"/>
      <c r="K181" s="1020"/>
      <c r="L181" s="1020"/>
      <c r="M181" s="1020"/>
      <c r="N181" s="1020"/>
      <c r="O181" s="1020"/>
    </row>
    <row r="182" spans="1:45" s="1023" customFormat="1" ht="20.100000000000001" hidden="1" customHeight="1">
      <c r="A182" s="1022"/>
      <c r="C182" s="1019"/>
      <c r="D182" s="1020"/>
      <c r="E182" s="1020"/>
      <c r="F182" s="1020"/>
      <c r="G182" s="1019" t="s">
        <v>738</v>
      </c>
      <c r="H182" s="1020"/>
      <c r="I182" s="1020"/>
      <c r="J182" s="1020"/>
      <c r="K182" s="1020"/>
      <c r="L182" s="1020"/>
      <c r="M182" s="1020"/>
      <c r="N182" s="1020"/>
      <c r="O182" s="1020"/>
    </row>
    <row r="183" spans="1:45" s="1023" customFormat="1" ht="20.100000000000001" hidden="1" customHeight="1">
      <c r="A183" s="1022"/>
      <c r="C183" s="1019"/>
      <c r="D183" s="1020"/>
      <c r="E183" s="1020"/>
      <c r="F183" s="1020"/>
      <c r="G183" s="1019" t="s">
        <v>739</v>
      </c>
      <c r="H183" s="1020"/>
      <c r="I183" s="1020"/>
      <c r="J183" s="1020"/>
      <c r="K183" s="1020"/>
      <c r="L183" s="1020"/>
      <c r="M183" s="1020"/>
      <c r="N183" s="1020"/>
      <c r="O183" s="1020"/>
    </row>
    <row r="184" spans="1:45" s="1023" customFormat="1" ht="20.100000000000001" hidden="1" customHeight="1">
      <c r="A184" s="1022"/>
      <c r="C184" s="1019"/>
      <c r="D184" s="1020"/>
      <c r="E184" s="1020"/>
      <c r="F184" s="1020"/>
      <c r="G184" s="1019"/>
      <c r="H184" s="1020"/>
      <c r="I184" s="1020"/>
      <c r="J184" s="1020"/>
      <c r="K184" s="1020"/>
      <c r="L184" s="1020"/>
      <c r="M184" s="1020"/>
      <c r="N184" s="1020"/>
      <c r="O184" s="1020"/>
    </row>
    <row r="185" spans="1:45" s="1023" customFormat="1" ht="20.100000000000001" customHeight="1">
      <c r="A185" s="1022"/>
      <c r="C185" s="1026"/>
      <c r="D185" s="1027"/>
      <c r="E185" s="1027"/>
      <c r="F185" s="1027"/>
      <c r="G185" s="1026"/>
      <c r="H185" s="1027"/>
      <c r="I185" s="1027"/>
      <c r="J185" s="1027"/>
      <c r="K185" s="1027"/>
      <c r="L185" s="1027"/>
      <c r="M185" s="1027"/>
      <c r="N185" s="1027"/>
      <c r="O185" s="1027"/>
    </row>
    <row r="186" spans="1:45" s="1023" customFormat="1" ht="23.25">
      <c r="A186" s="1022"/>
      <c r="B186" s="1022"/>
      <c r="C186" s="1022"/>
      <c r="D186" s="1022"/>
      <c r="E186" s="1022"/>
      <c r="F186" s="1022"/>
      <c r="G186" s="1027"/>
      <c r="H186" s="1027"/>
      <c r="I186" s="1027"/>
      <c r="J186" s="1027"/>
      <c r="K186" s="1027"/>
      <c r="L186" s="1027"/>
      <c r="M186" s="1027"/>
      <c r="N186" s="1027"/>
      <c r="O186" s="1027"/>
      <c r="P186" s="1027"/>
      <c r="Q186" s="1027"/>
      <c r="R186" s="1027"/>
      <c r="S186" s="1027"/>
      <c r="T186" s="1027"/>
      <c r="AB186" s="1012" t="s">
        <v>740</v>
      </c>
      <c r="AC186" s="1008"/>
      <c r="AD186" s="1008"/>
      <c r="AE186" s="1008"/>
      <c r="AF186" s="1012"/>
      <c r="AG186" s="1012"/>
      <c r="AH186" s="1012"/>
      <c r="AI186" s="1012"/>
      <c r="AJ186" s="1012"/>
      <c r="AK186" s="1012" t="s">
        <v>214</v>
      </c>
      <c r="AL186" s="1012"/>
      <c r="AM186" s="1012"/>
      <c r="AN186" s="1012"/>
      <c r="AO186" s="1012"/>
      <c r="AP186" s="1008"/>
      <c r="AQ186" s="1012" t="s">
        <v>215</v>
      </c>
      <c r="AR186" s="1008"/>
      <c r="AS186" s="1012"/>
    </row>
    <row r="187" spans="1:45" s="1023" customFormat="1" ht="14.25">
      <c r="A187" s="1022"/>
      <c r="B187" s="1022"/>
      <c r="C187" s="1022"/>
      <c r="D187" s="1022"/>
      <c r="E187" s="1022"/>
      <c r="F187" s="1022"/>
      <c r="G187" s="1027"/>
      <c r="H187" s="1027"/>
      <c r="I187" s="1027"/>
      <c r="J187" s="1027"/>
      <c r="K187" s="1027"/>
      <c r="L187" s="1027"/>
      <c r="M187" s="1027"/>
      <c r="N187" s="1027"/>
      <c r="O187" s="1027"/>
      <c r="P187" s="1027"/>
      <c r="Q187" s="1027"/>
      <c r="R187" s="1027"/>
      <c r="S187" s="1027"/>
      <c r="T187" s="1027"/>
    </row>
    <row r="188" spans="1:45" s="1023" customFormat="1" ht="14.25">
      <c r="A188" s="1022"/>
      <c r="B188" s="1022"/>
      <c r="C188" s="1022"/>
      <c r="D188" s="1022"/>
      <c r="E188" s="1022"/>
      <c r="F188" s="1022"/>
      <c r="G188" s="1020"/>
      <c r="H188" s="1020"/>
      <c r="I188" s="1020"/>
      <c r="J188" s="1020"/>
      <c r="K188" s="1020"/>
      <c r="L188" s="1020"/>
      <c r="M188" s="1020"/>
      <c r="N188" s="1020"/>
      <c r="O188" s="1020"/>
      <c r="P188" s="1020"/>
      <c r="Q188" s="1020"/>
      <c r="R188" s="1020"/>
      <c r="S188" s="1020"/>
      <c r="T188" s="1020"/>
    </row>
    <row r="189" spans="1:45" s="1023" customFormat="1" ht="14.25">
      <c r="A189" s="1022"/>
      <c r="B189" s="1022"/>
      <c r="C189" s="1022"/>
      <c r="D189" s="1022"/>
      <c r="E189" s="1022"/>
      <c r="F189" s="1022"/>
    </row>
    <row r="190" spans="1:45" s="1023" customFormat="1" ht="14.25">
      <c r="A190" s="1022"/>
      <c r="B190" s="1022"/>
      <c r="C190" s="1022"/>
      <c r="D190" s="1022"/>
      <c r="E190" s="1022"/>
      <c r="F190" s="1022"/>
    </row>
    <row r="191" spans="1:45" s="1023" customFormat="1" ht="14.25">
      <c r="A191" s="1022"/>
      <c r="B191" s="1022"/>
      <c r="C191" s="1022"/>
      <c r="D191" s="1022"/>
      <c r="E191" s="1022"/>
      <c r="F191" s="1022"/>
    </row>
    <row r="192" spans="1:45" s="1023" customFormat="1" ht="14.25">
      <c r="A192" s="1022"/>
      <c r="B192" s="1022"/>
      <c r="C192" s="1022"/>
      <c r="D192" s="1022"/>
      <c r="E192" s="1022"/>
      <c r="F192" s="1022"/>
    </row>
    <row r="193" spans="1:6" s="1023" customFormat="1" ht="14.25">
      <c r="A193" s="1022"/>
      <c r="B193" s="1022"/>
      <c r="C193" s="1022"/>
      <c r="D193" s="1022"/>
      <c r="E193" s="1022"/>
      <c r="F193" s="1022"/>
    </row>
    <row r="194" spans="1:6" s="1023" customFormat="1" ht="14.25">
      <c r="A194" s="1022"/>
      <c r="B194" s="1022"/>
      <c r="C194" s="1022"/>
      <c r="D194" s="1022"/>
      <c r="E194" s="1022"/>
      <c r="F194" s="1022"/>
    </row>
    <row r="195" spans="1:6" s="1023" customFormat="1" ht="14.25">
      <c r="A195" s="1022"/>
      <c r="B195" s="1022"/>
      <c r="C195" s="1022"/>
      <c r="D195" s="1022"/>
      <c r="E195" s="1022"/>
      <c r="F195" s="1022"/>
    </row>
    <row r="196" spans="1:6" s="1023" customFormat="1" ht="14.25">
      <c r="A196" s="1022"/>
      <c r="B196" s="1022"/>
      <c r="C196" s="1022"/>
      <c r="D196" s="1022"/>
      <c r="E196" s="1022"/>
      <c r="F196" s="1022"/>
    </row>
    <row r="197" spans="1:6" s="1023" customFormat="1" ht="14.25">
      <c r="A197" s="1022"/>
      <c r="B197" s="1022"/>
      <c r="C197" s="1022"/>
      <c r="D197" s="1022"/>
      <c r="E197" s="1022"/>
      <c r="F197" s="1022"/>
    </row>
    <row r="198" spans="1:6" s="1023" customFormat="1" ht="14.25">
      <c r="A198" s="1022"/>
      <c r="B198" s="1022"/>
      <c r="C198" s="1022"/>
      <c r="D198" s="1022"/>
      <c r="E198" s="1022"/>
      <c r="F198" s="1022"/>
    </row>
    <row r="199" spans="1:6" s="1023" customFormat="1" ht="14.25">
      <c r="A199" s="1022"/>
      <c r="B199" s="1022"/>
      <c r="C199" s="1022"/>
      <c r="D199" s="1022"/>
      <c r="E199" s="1022"/>
      <c r="F199" s="1022"/>
    </row>
    <row r="200" spans="1:6" s="1023" customFormat="1" ht="14.25">
      <c r="A200" s="1022"/>
      <c r="B200" s="1022"/>
      <c r="C200" s="1022"/>
      <c r="D200" s="1022"/>
      <c r="E200" s="1022"/>
      <c r="F200" s="1022"/>
    </row>
    <row r="201" spans="1:6" s="1023" customFormat="1" ht="14.25">
      <c r="A201" s="1022"/>
      <c r="B201" s="1022"/>
      <c r="C201" s="1022"/>
      <c r="D201" s="1022"/>
      <c r="E201" s="1022"/>
      <c r="F201" s="1022"/>
    </row>
    <row r="202" spans="1:6" s="1023" customFormat="1" ht="14.25">
      <c r="A202" s="1022"/>
      <c r="B202" s="1022"/>
      <c r="C202" s="1022"/>
      <c r="D202" s="1022"/>
      <c r="E202" s="1022"/>
      <c r="F202" s="1022"/>
    </row>
    <row r="203" spans="1:6" s="1023" customFormat="1" ht="14.25">
      <c r="A203" s="1022"/>
      <c r="B203" s="1022"/>
      <c r="C203" s="1022"/>
      <c r="D203" s="1022"/>
      <c r="E203" s="1022"/>
      <c r="F203" s="1022"/>
    </row>
    <row r="204" spans="1:6" s="1023" customFormat="1" ht="14.25">
      <c r="A204" s="1022"/>
      <c r="B204" s="1022"/>
      <c r="C204" s="1022"/>
      <c r="D204" s="1022"/>
      <c r="E204" s="1022"/>
      <c r="F204" s="1022"/>
    </row>
    <row r="205" spans="1:6" s="1023" customFormat="1" ht="14.25">
      <c r="A205" s="1022"/>
      <c r="B205" s="1022"/>
      <c r="C205" s="1022"/>
      <c r="D205" s="1022"/>
      <c r="E205" s="1022"/>
      <c r="F205" s="1022"/>
    </row>
    <row r="206" spans="1:6" s="1023" customFormat="1" ht="14.25">
      <c r="A206" s="1022"/>
      <c r="B206" s="1022"/>
      <c r="C206" s="1022"/>
      <c r="D206" s="1022"/>
      <c r="E206" s="1022"/>
      <c r="F206" s="1022"/>
    </row>
    <row r="207" spans="1:6" s="1023" customFormat="1" ht="14.25">
      <c r="A207" s="1022"/>
      <c r="B207" s="1022"/>
      <c r="C207" s="1022"/>
      <c r="D207" s="1022"/>
      <c r="E207" s="1022"/>
      <c r="F207" s="1022"/>
    </row>
  </sheetData>
  <mergeCells count="124">
    <mergeCell ref="BL18:BO18"/>
    <mergeCell ref="BP18:BS18"/>
    <mergeCell ref="BU18:BX18"/>
    <mergeCell ref="BY18:CB18"/>
    <mergeCell ref="B18:F18"/>
    <mergeCell ref="W18:AA18"/>
    <mergeCell ref="AU18:AX18"/>
    <mergeCell ref="AY18:BB18"/>
    <mergeCell ref="BC18:BF18"/>
    <mergeCell ref="BG18:BI18"/>
    <mergeCell ref="AF13:AF16"/>
    <mergeCell ref="AG13:AG16"/>
    <mergeCell ref="AH13:AH16"/>
    <mergeCell ref="AI13:AI17"/>
    <mergeCell ref="AJ13:AJ16"/>
    <mergeCell ref="AK13:AK16"/>
    <mergeCell ref="X13:Y13"/>
    <mergeCell ref="Z13:Z17"/>
    <mergeCell ref="AA13:AA16"/>
    <mergeCell ref="AB13:AB16"/>
    <mergeCell ref="AC13:AD13"/>
    <mergeCell ref="AE13:AE17"/>
    <mergeCell ref="X14:X16"/>
    <mergeCell ref="Y14:Y16"/>
    <mergeCell ref="AC14:AC16"/>
    <mergeCell ref="D14:D16"/>
    <mergeCell ref="H14:H16"/>
    <mergeCell ref="I14:I16"/>
    <mergeCell ref="M14:M16"/>
    <mergeCell ref="N14:N16"/>
    <mergeCell ref="AR13:AR17"/>
    <mergeCell ref="CB12:CB17"/>
    <mergeCell ref="B13:B16"/>
    <mergeCell ref="C13:D13"/>
    <mergeCell ref="E13:E17"/>
    <mergeCell ref="F13:F16"/>
    <mergeCell ref="G13:G16"/>
    <mergeCell ref="H13:I13"/>
    <mergeCell ref="J13:J17"/>
    <mergeCell ref="K13:K16"/>
    <mergeCell ref="L13:L16"/>
    <mergeCell ref="BS12:BS17"/>
    <mergeCell ref="BU12:BU16"/>
    <mergeCell ref="BV12:BW12"/>
    <mergeCell ref="BX12:BX17"/>
    <mergeCell ref="BY12:BY16"/>
    <mergeCell ref="BZ12:CA12"/>
    <mergeCell ref="BV13:BV16"/>
    <mergeCell ref="AV13:AV16"/>
    <mergeCell ref="AZ13:AZ16"/>
    <mergeCell ref="BA13:BA16"/>
    <mergeCell ref="BD13:BD16"/>
    <mergeCell ref="AL13:AL17"/>
    <mergeCell ref="AM13:AM16"/>
    <mergeCell ref="AN13:AN16"/>
    <mergeCell ref="AO13:AO17"/>
    <mergeCell ref="BE13:BE16"/>
    <mergeCell ref="BG13:BG16"/>
    <mergeCell ref="AW13:AW16"/>
    <mergeCell ref="AP13:AP16"/>
    <mergeCell ref="AQ13:AQ16"/>
    <mergeCell ref="BH13:BH16"/>
    <mergeCell ref="BI13:BI16"/>
    <mergeCell ref="BW13:BW16"/>
    <mergeCell ref="BZ13:BZ16"/>
    <mergeCell ref="CA13:CA16"/>
    <mergeCell ref="BJ12:BJ17"/>
    <mergeCell ref="BL12:BL16"/>
    <mergeCell ref="BM12:BN12"/>
    <mergeCell ref="BO12:BO17"/>
    <mergeCell ref="BP12:BP16"/>
    <mergeCell ref="BQ12:BR12"/>
    <mergeCell ref="BM13:BM16"/>
    <mergeCell ref="BN13:BN16"/>
    <mergeCell ref="BQ13:BQ16"/>
    <mergeCell ref="BR13:BR16"/>
    <mergeCell ref="BL10:BS10"/>
    <mergeCell ref="BU10:CB10"/>
    <mergeCell ref="AU11:AX11"/>
    <mergeCell ref="AY11:BB11"/>
    <mergeCell ref="BL11:BO11"/>
    <mergeCell ref="BP11:BS11"/>
    <mergeCell ref="BU11:BX11"/>
    <mergeCell ref="BY11:CB11"/>
    <mergeCell ref="AP10:AR12"/>
    <mergeCell ref="AS10:AS16"/>
    <mergeCell ref="AU10:BB10"/>
    <mergeCell ref="BC10:BF11"/>
    <mergeCell ref="BG10:BI11"/>
    <mergeCell ref="BJ10:BJ11"/>
    <mergeCell ref="AU12:AU16"/>
    <mergeCell ref="AV12:AW12"/>
    <mergeCell ref="AX12:AX17"/>
    <mergeCell ref="AY12:AY16"/>
    <mergeCell ref="AZ12:BA12"/>
    <mergeCell ref="BB12:BB17"/>
    <mergeCell ref="BC12:BC16"/>
    <mergeCell ref="BD12:BE12"/>
    <mergeCell ref="BF12:BF17"/>
    <mergeCell ref="BG12:BI12"/>
    <mergeCell ref="T10:V12"/>
    <mergeCell ref="W10:AA12"/>
    <mergeCell ref="AB10:AF12"/>
    <mergeCell ref="AG10:AI12"/>
    <mergeCell ref="AJ10:AL12"/>
    <mergeCell ref="AM10:AO12"/>
    <mergeCell ref="G9:P9"/>
    <mergeCell ref="A10:A17"/>
    <mergeCell ref="B10:F12"/>
    <mergeCell ref="G10:K12"/>
    <mergeCell ref="L10:P12"/>
    <mergeCell ref="Q10:S12"/>
    <mergeCell ref="M13:N13"/>
    <mergeCell ref="O13:O17"/>
    <mergeCell ref="P13:P16"/>
    <mergeCell ref="Q13:Q16"/>
    <mergeCell ref="AD14:AD16"/>
    <mergeCell ref="R13:R16"/>
    <mergeCell ref="S13:S17"/>
    <mergeCell ref="T13:T16"/>
    <mergeCell ref="U13:U16"/>
    <mergeCell ref="V13:V17"/>
    <mergeCell ref="W13:W16"/>
    <mergeCell ref="C14:C16"/>
  </mergeCells>
  <printOptions horizontalCentered="1"/>
  <pageMargins left="0.19685039370078741" right="0.19685039370078741" top="0.98425196850393704" bottom="0.78740157480314965" header="0.74803149606299213" footer="0.39370078740157483"/>
  <pageSetup paperSize="8" scale="32" fitToWidth="2" pageOrder="overThenDown" orientation="landscape" cellComments="atEnd" r:id="rId1"/>
  <headerFooter alignWithMargins="0">
    <oddHeader>&amp;C&amp;"Arial CE,Tučné"&amp;22Rozbor zaměstnanosti a čerpání mzdových prostředků za rok 2015&amp;R&amp;"Arial CE,Tučné"&amp;20Tabulka č. 3&amp;"Arial CE,Obyčejné"&amp;10
&amp;20Strana č. &amp;P/&amp;N</oddHeader>
    <oddFooter xml:space="preserve">&amp;C&amp;20&amp;P+11&amp;10
</oddFooter>
  </headerFooter>
  <colBreaks count="1" manualBreakCount="1">
    <brk id="27" max="1048575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S116"/>
  <sheetViews>
    <sheetView topLeftCell="A6" zoomScaleNormal="100" workbookViewId="0">
      <selection activeCell="G124" sqref="G123:G124"/>
    </sheetView>
  </sheetViews>
  <sheetFormatPr defaultRowHeight="12.75"/>
  <cols>
    <col min="1" max="1" width="3.85546875" style="367" customWidth="1"/>
    <col min="2" max="2" width="7.42578125" style="367" customWidth="1"/>
    <col min="3" max="3" width="6.7109375" style="367" customWidth="1"/>
    <col min="4" max="4" width="30.28515625" style="367" customWidth="1"/>
    <col min="5" max="5" width="13.85546875" style="367" bestFit="1" customWidth="1"/>
    <col min="6" max="6" width="12.7109375" style="367" bestFit="1" customWidth="1"/>
    <col min="7" max="8" width="13.7109375" style="367" customWidth="1"/>
    <col min="9" max="9" width="12.85546875" style="367" customWidth="1"/>
    <col min="10" max="10" width="13.85546875" style="367" customWidth="1"/>
    <col min="11" max="11" width="14.5703125" style="367" customWidth="1"/>
    <col min="12" max="12" width="13.85546875" style="367" customWidth="1"/>
    <col min="13" max="13" width="13.5703125" style="367" customWidth="1"/>
    <col min="14" max="15" width="13.7109375" style="367" customWidth="1"/>
    <col min="16" max="16" width="14.42578125" style="367" customWidth="1"/>
    <col min="17" max="16384" width="9.140625" style="367"/>
  </cols>
  <sheetData>
    <row r="1" spans="1:16" ht="15.75">
      <c r="B1" s="363"/>
    </row>
    <row r="2" spans="1:16" ht="25.5">
      <c r="B2" s="368" t="s">
        <v>157</v>
      </c>
      <c r="D2" s="369"/>
      <c r="I2" s="370"/>
      <c r="J2" s="370"/>
      <c r="P2" s="371"/>
    </row>
    <row r="3" spans="1:16">
      <c r="M3" s="372"/>
    </row>
    <row r="4" spans="1:16" ht="15.75">
      <c r="A4" s="373"/>
      <c r="B4" s="1460" t="s">
        <v>494</v>
      </c>
      <c r="C4" s="1460"/>
      <c r="D4" s="1460"/>
      <c r="E4" s="1460"/>
      <c r="F4" s="1460"/>
      <c r="G4" s="1460"/>
      <c r="H4" s="1460"/>
      <c r="I4" s="1460"/>
      <c r="J4" s="374"/>
      <c r="K4" s="374"/>
      <c r="L4" s="374"/>
      <c r="M4" s="375"/>
    </row>
    <row r="5" spans="1:16" ht="15.75">
      <c r="A5" s="373"/>
      <c r="B5" s="376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5"/>
    </row>
    <row r="6" spans="1:16" ht="15.75">
      <c r="A6" s="374"/>
      <c r="B6" s="374"/>
      <c r="C6" s="374"/>
      <c r="D6" s="374"/>
      <c r="E6" s="374"/>
      <c r="F6" s="374"/>
      <c r="G6" s="374"/>
      <c r="H6" s="374"/>
      <c r="I6" s="374"/>
      <c r="J6" s="374"/>
      <c r="K6" s="374"/>
      <c r="L6" s="374"/>
      <c r="M6" s="375"/>
    </row>
    <row r="7" spans="1:16" ht="15.75">
      <c r="B7" s="377" t="s">
        <v>495</v>
      </c>
      <c r="C7" s="378"/>
      <c r="D7" s="378"/>
      <c r="E7" s="378"/>
      <c r="F7" s="378"/>
      <c r="G7" s="378"/>
      <c r="H7" s="378"/>
      <c r="I7" s="378"/>
      <c r="J7" s="378"/>
      <c r="K7" s="378"/>
      <c r="L7" s="378"/>
      <c r="M7" s="378"/>
    </row>
    <row r="8" spans="1:16" ht="13.5" thickBot="1">
      <c r="P8" s="379" t="s">
        <v>0</v>
      </c>
    </row>
    <row r="9" spans="1:16" ht="18" customHeight="1">
      <c r="B9" s="380"/>
      <c r="C9" s="381"/>
      <c r="D9" s="382"/>
      <c r="E9" s="383" t="s">
        <v>227</v>
      </c>
      <c r="F9" s="383"/>
      <c r="G9" s="384"/>
      <c r="H9" s="383" t="s">
        <v>4</v>
      </c>
      <c r="I9" s="383"/>
      <c r="J9" s="384"/>
      <c r="K9" s="1443" t="s">
        <v>496</v>
      </c>
      <c r="L9" s="1444"/>
      <c r="M9" s="1445"/>
      <c r="N9" s="1443" t="s">
        <v>497</v>
      </c>
      <c r="O9" s="1444"/>
      <c r="P9" s="1445"/>
    </row>
    <row r="10" spans="1:16" ht="18" customHeight="1">
      <c r="B10" s="385" t="s">
        <v>498</v>
      </c>
      <c r="C10" s="386" t="s">
        <v>499</v>
      </c>
      <c r="D10" s="387"/>
      <c r="E10" s="366" t="s">
        <v>500</v>
      </c>
      <c r="F10" s="366"/>
      <c r="G10" s="364"/>
      <c r="H10" s="366" t="s">
        <v>156</v>
      </c>
      <c r="I10" s="366"/>
      <c r="J10" s="388"/>
      <c r="K10" s="1433" t="s">
        <v>501</v>
      </c>
      <c r="L10" s="1446"/>
      <c r="M10" s="1447"/>
      <c r="N10" s="1433" t="s">
        <v>502</v>
      </c>
      <c r="O10" s="1446"/>
      <c r="P10" s="1447"/>
    </row>
    <row r="11" spans="1:16" ht="18" customHeight="1">
      <c r="B11" s="385"/>
      <c r="C11" s="389"/>
      <c r="D11" s="390"/>
      <c r="E11" s="391" t="s">
        <v>503</v>
      </c>
      <c r="F11" s="392" t="s">
        <v>504</v>
      </c>
      <c r="G11" s="390"/>
      <c r="H11" s="391" t="s">
        <v>503</v>
      </c>
      <c r="I11" s="392" t="s">
        <v>504</v>
      </c>
      <c r="J11" s="390"/>
      <c r="K11" s="391" t="s">
        <v>503</v>
      </c>
      <c r="L11" s="392" t="s">
        <v>504</v>
      </c>
      <c r="M11" s="390"/>
      <c r="N11" s="391" t="s">
        <v>503</v>
      </c>
      <c r="O11" s="393" t="s">
        <v>504</v>
      </c>
      <c r="P11" s="390"/>
    </row>
    <row r="12" spans="1:16" ht="18" customHeight="1" thickBot="1">
      <c r="B12" s="394"/>
      <c r="C12" s="395"/>
      <c r="D12" s="396"/>
      <c r="E12" s="397" t="s">
        <v>505</v>
      </c>
      <c r="F12" s="398" t="s">
        <v>505</v>
      </c>
      <c r="G12" s="396" t="s">
        <v>17</v>
      </c>
      <c r="H12" s="397" t="s">
        <v>505</v>
      </c>
      <c r="I12" s="398" t="s">
        <v>505</v>
      </c>
      <c r="J12" s="396" t="s">
        <v>17</v>
      </c>
      <c r="K12" s="397" t="s">
        <v>505</v>
      </c>
      <c r="L12" s="398" t="s">
        <v>505</v>
      </c>
      <c r="M12" s="396" t="s">
        <v>17</v>
      </c>
      <c r="N12" s="397" t="s">
        <v>505</v>
      </c>
      <c r="O12" s="398" t="s">
        <v>505</v>
      </c>
      <c r="P12" s="396" t="s">
        <v>17</v>
      </c>
    </row>
    <row r="13" spans="1:16" ht="13.5" thickBot="1">
      <c r="B13" s="394"/>
      <c r="C13" s="399"/>
      <c r="D13" s="400"/>
      <c r="E13" s="397">
        <v>1</v>
      </c>
      <c r="F13" s="401">
        <v>2</v>
      </c>
      <c r="G13" s="396">
        <v>3</v>
      </c>
      <c r="H13" s="397">
        <v>4</v>
      </c>
      <c r="I13" s="401">
        <v>5</v>
      </c>
      <c r="J13" s="396">
        <v>6</v>
      </c>
      <c r="K13" s="397">
        <v>7</v>
      </c>
      <c r="L13" s="398">
        <v>8</v>
      </c>
      <c r="M13" s="396">
        <f t="shared" ref="M13:M21" si="0">K13+L13</f>
        <v>15</v>
      </c>
      <c r="N13" s="397">
        <v>10</v>
      </c>
      <c r="O13" s="398">
        <v>11</v>
      </c>
      <c r="P13" s="396">
        <f t="shared" ref="P13:P21" si="1">N13+O13</f>
        <v>21</v>
      </c>
    </row>
    <row r="14" spans="1:16" ht="15" customHeight="1">
      <c r="B14" s="402" t="s">
        <v>506</v>
      </c>
      <c r="C14" s="403" t="s">
        <v>507</v>
      </c>
      <c r="D14" s="404"/>
      <c r="E14" s="405">
        <f>6666.333+18742+1997.87+257977.732-8525-10624.367-101099.207-54434-95875.158</f>
        <v>14826.20299999998</v>
      </c>
      <c r="F14" s="406">
        <f>341.667+280</f>
        <v>621.66699999999992</v>
      </c>
      <c r="G14" s="407">
        <f>E14+F14</f>
        <v>15447.869999999979</v>
      </c>
      <c r="H14" s="405">
        <v>20591.068780000001</v>
      </c>
      <c r="I14" s="406">
        <v>2298.7337699999998</v>
      </c>
      <c r="J14" s="407">
        <f t="shared" ref="J14:J21" si="2">H14+I14</f>
        <v>22889.80255</v>
      </c>
      <c r="K14" s="405"/>
      <c r="L14" s="406"/>
      <c r="M14" s="407">
        <f t="shared" si="0"/>
        <v>0</v>
      </c>
      <c r="N14" s="405">
        <f>12776.85104+233</f>
        <v>13009.85104</v>
      </c>
      <c r="O14" s="406">
        <v>1796.91833</v>
      </c>
      <c r="P14" s="407">
        <f t="shared" si="1"/>
        <v>14806.76937</v>
      </c>
    </row>
    <row r="15" spans="1:16" ht="15" customHeight="1">
      <c r="B15" s="402" t="s">
        <v>508</v>
      </c>
      <c r="C15" s="408" t="s">
        <v>509</v>
      </c>
      <c r="D15" s="409"/>
      <c r="E15" s="410">
        <v>10624.367</v>
      </c>
      <c r="F15" s="411"/>
      <c r="G15" s="412">
        <f t="shared" ref="G15:G20" si="3">E15+F15</f>
        <v>10624.367</v>
      </c>
      <c r="H15" s="410">
        <v>10860.992</v>
      </c>
      <c r="I15" s="411"/>
      <c r="J15" s="412">
        <f t="shared" si="2"/>
        <v>10860.992</v>
      </c>
      <c r="K15" s="410"/>
      <c r="L15" s="411"/>
      <c r="M15" s="412">
        <f t="shared" si="0"/>
        <v>0</v>
      </c>
      <c r="N15" s="410">
        <v>236.625</v>
      </c>
      <c r="O15" s="411"/>
      <c r="P15" s="412">
        <f t="shared" si="1"/>
        <v>236.625</v>
      </c>
    </row>
    <row r="16" spans="1:16" ht="15" customHeight="1">
      <c r="B16" s="413" t="s">
        <v>510</v>
      </c>
      <c r="C16" s="414" t="s">
        <v>511</v>
      </c>
      <c r="D16" s="415"/>
      <c r="E16" s="405"/>
      <c r="F16" s="406"/>
      <c r="G16" s="407">
        <f t="shared" si="3"/>
        <v>0</v>
      </c>
      <c r="H16" s="405"/>
      <c r="I16" s="406"/>
      <c r="J16" s="407">
        <f t="shared" si="2"/>
        <v>0</v>
      </c>
      <c r="K16" s="405"/>
      <c r="L16" s="406"/>
      <c r="M16" s="407">
        <f t="shared" si="0"/>
        <v>0</v>
      </c>
      <c r="N16" s="405"/>
      <c r="O16" s="406"/>
      <c r="P16" s="407">
        <f t="shared" si="1"/>
        <v>0</v>
      </c>
    </row>
    <row r="17" spans="2:16" ht="15" customHeight="1">
      <c r="B17" s="413" t="s">
        <v>512</v>
      </c>
      <c r="C17" s="416" t="s">
        <v>513</v>
      </c>
      <c r="D17" s="415"/>
      <c r="E17" s="405">
        <f>101099.207-0.01</f>
        <v>101099.197</v>
      </c>
      <c r="F17" s="406"/>
      <c r="G17" s="407">
        <f t="shared" si="3"/>
        <v>101099.197</v>
      </c>
      <c r="H17" s="405">
        <v>120538.41701999999</v>
      </c>
      <c r="I17" s="406"/>
      <c r="J17" s="407">
        <f t="shared" si="2"/>
        <v>120538.41701999999</v>
      </c>
      <c r="K17" s="405"/>
      <c r="L17" s="406"/>
      <c r="M17" s="407">
        <f t="shared" si="0"/>
        <v>0</v>
      </c>
      <c r="N17" s="405">
        <v>37765.812599999997</v>
      </c>
      <c r="O17" s="406"/>
      <c r="P17" s="407">
        <f t="shared" si="1"/>
        <v>37765.812599999997</v>
      </c>
    </row>
    <row r="18" spans="2:16" ht="15" customHeight="1">
      <c r="B18" s="413" t="s">
        <v>514</v>
      </c>
      <c r="C18" s="416" t="s">
        <v>515</v>
      </c>
      <c r="D18" s="415"/>
      <c r="E18" s="405">
        <v>54434</v>
      </c>
      <c r="F18" s="406"/>
      <c r="G18" s="407">
        <f t="shared" si="3"/>
        <v>54434</v>
      </c>
      <c r="H18" s="405">
        <v>87814.877569999997</v>
      </c>
      <c r="I18" s="406"/>
      <c r="J18" s="407">
        <f t="shared" si="2"/>
        <v>87814.877569999997</v>
      </c>
      <c r="K18" s="405"/>
      <c r="L18" s="406"/>
      <c r="M18" s="407">
        <f t="shared" si="0"/>
        <v>0</v>
      </c>
      <c r="N18" s="405">
        <v>36279.72</v>
      </c>
      <c r="O18" s="406"/>
      <c r="P18" s="407">
        <f t="shared" si="1"/>
        <v>36279.72</v>
      </c>
    </row>
    <row r="19" spans="2:16" ht="15" customHeight="1">
      <c r="B19" s="413" t="s">
        <v>516</v>
      </c>
      <c r="C19" s="416" t="s">
        <v>517</v>
      </c>
      <c r="D19" s="415"/>
      <c r="E19" s="405">
        <v>95875.157999999996</v>
      </c>
      <c r="F19" s="406"/>
      <c r="G19" s="407">
        <f t="shared" si="3"/>
        <v>95875.157999999996</v>
      </c>
      <c r="H19" s="405">
        <v>116227.476</v>
      </c>
      <c r="I19" s="406"/>
      <c r="J19" s="407">
        <f t="shared" si="2"/>
        <v>116227.476</v>
      </c>
      <c r="K19" s="405"/>
      <c r="L19" s="406"/>
      <c r="M19" s="407">
        <f t="shared" si="0"/>
        <v>0</v>
      </c>
      <c r="N19" s="405">
        <f>43784.476</f>
        <v>43784.476000000002</v>
      </c>
      <c r="O19" s="406"/>
      <c r="P19" s="407">
        <f t="shared" si="1"/>
        <v>43784.476000000002</v>
      </c>
    </row>
    <row r="20" spans="2:16" ht="15" customHeight="1" thickBot="1">
      <c r="B20" s="413" t="s">
        <v>518</v>
      </c>
      <c r="C20" s="416" t="s">
        <v>519</v>
      </c>
      <c r="D20" s="415"/>
      <c r="E20" s="405">
        <v>8525</v>
      </c>
      <c r="F20" s="406"/>
      <c r="G20" s="407">
        <f t="shared" si="3"/>
        <v>8525</v>
      </c>
      <c r="H20" s="405">
        <v>14131.96394</v>
      </c>
      <c r="I20" s="406"/>
      <c r="J20" s="407">
        <f t="shared" si="2"/>
        <v>14131.96394</v>
      </c>
      <c r="K20" s="405"/>
      <c r="L20" s="406"/>
      <c r="M20" s="407">
        <f t="shared" si="0"/>
        <v>0</v>
      </c>
      <c r="N20" s="405">
        <v>5606.9639399999996</v>
      </c>
      <c r="O20" s="406"/>
      <c r="P20" s="407">
        <f t="shared" si="1"/>
        <v>5606.9639399999996</v>
      </c>
    </row>
    <row r="21" spans="2:16" ht="15" customHeight="1" thickBot="1">
      <c r="B21" s="417" t="s">
        <v>520</v>
      </c>
      <c r="C21" s="418" t="s">
        <v>521</v>
      </c>
      <c r="D21" s="419"/>
      <c r="E21" s="420">
        <f>SUM(E14:E20)</f>
        <v>285383.92499999999</v>
      </c>
      <c r="F21" s="421">
        <f>SUM(F14:F20)</f>
        <v>621.66699999999992</v>
      </c>
      <c r="G21" s="422">
        <f>E21+F21+0.01</f>
        <v>286005.60200000001</v>
      </c>
      <c r="H21" s="420">
        <f>SUM(H14:H20)</f>
        <v>370164.79531000002</v>
      </c>
      <c r="I21" s="421">
        <f>SUM(I14:I20)</f>
        <v>2298.7337699999998</v>
      </c>
      <c r="J21" s="422">
        <f t="shared" si="2"/>
        <v>372463.52908000001</v>
      </c>
      <c r="K21" s="420">
        <f>SUM(K14:K20)</f>
        <v>0</v>
      </c>
      <c r="L21" s="421">
        <f>SUM(L14:L20)</f>
        <v>0</v>
      </c>
      <c r="M21" s="422">
        <f t="shared" si="0"/>
        <v>0</v>
      </c>
      <c r="N21" s="420">
        <f>SUM(N14:N20)</f>
        <v>136683.44858</v>
      </c>
      <c r="O21" s="421">
        <f>SUM(O14:O20)</f>
        <v>1796.91833</v>
      </c>
      <c r="P21" s="422">
        <f t="shared" si="1"/>
        <v>138480.36690999998</v>
      </c>
    </row>
    <row r="22" spans="2:16" ht="15" customHeight="1">
      <c r="B22" s="423"/>
      <c r="C22" s="424" t="s">
        <v>522</v>
      </c>
      <c r="D22" s="425" t="s">
        <v>523</v>
      </c>
      <c r="E22" s="426">
        <v>1810.405</v>
      </c>
      <c r="F22" s="427" t="s">
        <v>524</v>
      </c>
      <c r="G22" s="428" t="s">
        <v>524</v>
      </c>
      <c r="H22" s="426">
        <v>2671.5</v>
      </c>
      <c r="I22" s="427" t="s">
        <v>524</v>
      </c>
      <c r="J22" s="428" t="s">
        <v>524</v>
      </c>
      <c r="K22" s="426"/>
      <c r="L22" s="427" t="s">
        <v>524</v>
      </c>
      <c r="M22" s="428" t="s">
        <v>524</v>
      </c>
      <c r="N22" s="426"/>
      <c r="O22" s="427" t="s">
        <v>524</v>
      </c>
      <c r="P22" s="428" t="s">
        <v>524</v>
      </c>
    </row>
    <row r="23" spans="2:16" ht="15" customHeight="1">
      <c r="B23" s="423"/>
      <c r="C23" s="429"/>
      <c r="D23" s="430" t="s">
        <v>525</v>
      </c>
      <c r="E23" s="431">
        <v>2694</v>
      </c>
      <c r="F23" s="432" t="s">
        <v>524</v>
      </c>
      <c r="G23" s="433" t="s">
        <v>524</v>
      </c>
      <c r="H23" s="431">
        <v>2395.6799999999998</v>
      </c>
      <c r="I23" s="432" t="s">
        <v>524</v>
      </c>
      <c r="J23" s="433" t="s">
        <v>524</v>
      </c>
      <c r="K23" s="431"/>
      <c r="L23" s="432" t="s">
        <v>524</v>
      </c>
      <c r="M23" s="433" t="s">
        <v>524</v>
      </c>
      <c r="N23" s="431"/>
      <c r="O23" s="432" t="s">
        <v>524</v>
      </c>
      <c r="P23" s="433" t="s">
        <v>524</v>
      </c>
    </row>
    <row r="24" spans="2:16" ht="15" customHeight="1">
      <c r="B24" s="423"/>
      <c r="C24" s="429"/>
      <c r="D24" s="430" t="s">
        <v>526</v>
      </c>
      <c r="E24" s="431">
        <v>722.29700000000003</v>
      </c>
      <c r="F24" s="432" t="s">
        <v>524</v>
      </c>
      <c r="G24" s="433" t="s">
        <v>524</v>
      </c>
      <c r="H24" s="431">
        <v>994.66402000000005</v>
      </c>
      <c r="I24" s="432" t="s">
        <v>524</v>
      </c>
      <c r="J24" s="433" t="s">
        <v>524</v>
      </c>
      <c r="K24" s="431"/>
      <c r="L24" s="432" t="s">
        <v>524</v>
      </c>
      <c r="M24" s="433" t="s">
        <v>524</v>
      </c>
      <c r="N24" s="431"/>
      <c r="O24" s="432" t="s">
        <v>524</v>
      </c>
      <c r="P24" s="433" t="s">
        <v>524</v>
      </c>
    </row>
    <row r="25" spans="2:16" ht="15" customHeight="1" thickBot="1">
      <c r="B25" s="434"/>
      <c r="C25" s="435"/>
      <c r="D25" s="436" t="s">
        <v>527</v>
      </c>
      <c r="E25" s="437">
        <v>19.904</v>
      </c>
      <c r="F25" s="438" t="s">
        <v>524</v>
      </c>
      <c r="G25" s="439" t="s">
        <v>524</v>
      </c>
      <c r="H25" s="437">
        <v>26.715</v>
      </c>
      <c r="I25" s="438" t="s">
        <v>524</v>
      </c>
      <c r="J25" s="439" t="s">
        <v>524</v>
      </c>
      <c r="K25" s="437"/>
      <c r="L25" s="438" t="s">
        <v>524</v>
      </c>
      <c r="M25" s="439" t="s">
        <v>524</v>
      </c>
      <c r="N25" s="437"/>
      <c r="O25" s="438" t="s">
        <v>524</v>
      </c>
      <c r="P25" s="439" t="s">
        <v>524</v>
      </c>
    </row>
    <row r="26" spans="2:16" ht="15" customHeight="1">
      <c r="E26" s="440"/>
      <c r="H26" s="440"/>
    </row>
    <row r="27" spans="2:16" ht="14.25">
      <c r="B27" s="372"/>
      <c r="C27" s="441"/>
      <c r="D27" s="441"/>
      <c r="E27" s="441"/>
      <c r="F27" s="441"/>
      <c r="G27" s="441"/>
      <c r="H27" s="441"/>
      <c r="I27" s="441"/>
      <c r="J27" s="441"/>
      <c r="K27" s="441"/>
      <c r="L27" s="441"/>
      <c r="M27" s="441"/>
      <c r="N27" s="442"/>
      <c r="O27" s="443"/>
      <c r="P27" s="371"/>
    </row>
    <row r="28" spans="2:16" ht="20.25" customHeight="1">
      <c r="B28" s="377" t="s">
        <v>528</v>
      </c>
      <c r="C28" s="378"/>
      <c r="D28" s="378"/>
      <c r="E28" s="378"/>
      <c r="F28" s="378"/>
      <c r="G28" s="378"/>
      <c r="H28" s="378"/>
      <c r="I28" s="378"/>
      <c r="J28" s="378"/>
      <c r="K28" s="378"/>
      <c r="L28" s="378"/>
      <c r="M28" s="378"/>
    </row>
    <row r="29" spans="2:16" ht="13.5" thickBot="1">
      <c r="P29" s="379" t="s">
        <v>0</v>
      </c>
    </row>
    <row r="30" spans="2:16" ht="18" customHeight="1">
      <c r="B30" s="380"/>
      <c r="C30" s="381"/>
      <c r="D30" s="382"/>
      <c r="E30" s="383" t="s">
        <v>227</v>
      </c>
      <c r="F30" s="383"/>
      <c r="G30" s="384"/>
      <c r="H30" s="383" t="s">
        <v>4</v>
      </c>
      <c r="I30" s="383"/>
      <c r="J30" s="384"/>
      <c r="K30" s="1443" t="s">
        <v>496</v>
      </c>
      <c r="L30" s="1444"/>
      <c r="M30" s="1445"/>
      <c r="N30" s="1443" t="s">
        <v>497</v>
      </c>
      <c r="O30" s="1444"/>
      <c r="P30" s="1445"/>
    </row>
    <row r="31" spans="2:16" ht="18" customHeight="1">
      <c r="B31" s="385" t="s">
        <v>498</v>
      </c>
      <c r="C31" s="386" t="s">
        <v>499</v>
      </c>
      <c r="D31" s="387"/>
      <c r="E31" s="366" t="s">
        <v>500</v>
      </c>
      <c r="F31" s="366"/>
      <c r="G31" s="364"/>
      <c r="H31" s="366" t="s">
        <v>156</v>
      </c>
      <c r="I31" s="366"/>
      <c r="J31" s="388"/>
      <c r="K31" s="1433" t="s">
        <v>501</v>
      </c>
      <c r="L31" s="1446"/>
      <c r="M31" s="1447"/>
      <c r="N31" s="1433" t="s">
        <v>502</v>
      </c>
      <c r="O31" s="1446"/>
      <c r="P31" s="1447"/>
    </row>
    <row r="32" spans="2:16" ht="18" customHeight="1">
      <c r="B32" s="385"/>
      <c r="C32" s="389"/>
      <c r="D32" s="390"/>
      <c r="E32" s="391" t="s">
        <v>503</v>
      </c>
      <c r="F32" s="392" t="s">
        <v>504</v>
      </c>
      <c r="G32" s="390"/>
      <c r="H32" s="391" t="s">
        <v>503</v>
      </c>
      <c r="I32" s="392" t="s">
        <v>504</v>
      </c>
      <c r="J32" s="390"/>
      <c r="K32" s="391" t="s">
        <v>503</v>
      </c>
      <c r="L32" s="392" t="s">
        <v>504</v>
      </c>
      <c r="M32" s="390"/>
      <c r="N32" s="391" t="s">
        <v>503</v>
      </c>
      <c r="O32" s="393" t="s">
        <v>504</v>
      </c>
      <c r="P32" s="390"/>
    </row>
    <row r="33" spans="2:19" ht="18" customHeight="1" thickBot="1">
      <c r="B33" s="394"/>
      <c r="C33" s="395"/>
      <c r="D33" s="396"/>
      <c r="E33" s="397" t="s">
        <v>505</v>
      </c>
      <c r="F33" s="398" t="s">
        <v>505</v>
      </c>
      <c r="G33" s="396" t="s">
        <v>17</v>
      </c>
      <c r="H33" s="397" t="s">
        <v>505</v>
      </c>
      <c r="I33" s="398" t="s">
        <v>505</v>
      </c>
      <c r="J33" s="396" t="s">
        <v>17</v>
      </c>
      <c r="K33" s="397" t="s">
        <v>505</v>
      </c>
      <c r="L33" s="398" t="s">
        <v>505</v>
      </c>
      <c r="M33" s="396" t="s">
        <v>17</v>
      </c>
      <c r="N33" s="397" t="s">
        <v>505</v>
      </c>
      <c r="O33" s="398" t="s">
        <v>505</v>
      </c>
      <c r="P33" s="396" t="s">
        <v>17</v>
      </c>
    </row>
    <row r="34" spans="2:19" ht="13.5" thickBot="1">
      <c r="B34" s="394"/>
      <c r="C34" s="399"/>
      <c r="D34" s="400"/>
      <c r="E34" s="397">
        <v>1</v>
      </c>
      <c r="F34" s="401">
        <v>2</v>
      </c>
      <c r="G34" s="396">
        <v>3</v>
      </c>
      <c r="H34" s="397">
        <v>4</v>
      </c>
      <c r="I34" s="401">
        <v>5</v>
      </c>
      <c r="J34" s="396">
        <v>6</v>
      </c>
      <c r="K34" s="397">
        <v>7</v>
      </c>
      <c r="L34" s="398">
        <v>8</v>
      </c>
      <c r="M34" s="396">
        <f t="shared" ref="M34:M42" si="4">K34+L34</f>
        <v>15</v>
      </c>
      <c r="N34" s="397">
        <v>10</v>
      </c>
      <c r="O34" s="398">
        <v>11</v>
      </c>
      <c r="P34" s="396">
        <f t="shared" ref="P34:P42" si="5">N34+O34</f>
        <v>21</v>
      </c>
    </row>
    <row r="35" spans="2:19" ht="15" customHeight="1">
      <c r="B35" s="402" t="s">
        <v>506</v>
      </c>
      <c r="C35" s="403" t="s">
        <v>507</v>
      </c>
      <c r="D35" s="404"/>
      <c r="E35" s="405">
        <f>3801+23488+3360+4408-18717</f>
        <v>16340</v>
      </c>
      <c r="F35" s="406">
        <f>2230+9020+1100</f>
        <v>12350</v>
      </c>
      <c r="G35" s="407">
        <f>E35+F35</f>
        <v>28690</v>
      </c>
      <c r="H35" s="405">
        <f>3945.96179+3689.5956+3470.84102+4163.34688</f>
        <v>15269.745289999999</v>
      </c>
      <c r="I35" s="406">
        <f>2129.05785+8666.5998+697.976</f>
        <v>11493.633650000002</v>
      </c>
      <c r="J35" s="407">
        <f t="shared" ref="J35:J42" si="6">H35+I35</f>
        <v>26763.378940000002</v>
      </c>
      <c r="K35" s="405"/>
      <c r="L35" s="406"/>
      <c r="M35" s="407">
        <f t="shared" si="4"/>
        <v>0</v>
      </c>
      <c r="N35" s="405">
        <f>994.34576+3189.5956+606.63349+466.24+0.01</f>
        <v>5256.82485</v>
      </c>
      <c r="O35" s="406">
        <f>343.22574+544.92609+69.061</f>
        <v>957.21283000000005</v>
      </c>
      <c r="P35" s="407">
        <f>N35+O35-0.01</f>
        <v>6214.0276800000001</v>
      </c>
    </row>
    <row r="36" spans="2:19" ht="15" customHeight="1">
      <c r="B36" s="402" t="s">
        <v>508</v>
      </c>
      <c r="C36" s="408" t="s">
        <v>509</v>
      </c>
      <c r="D36" s="409"/>
      <c r="E36" s="410"/>
      <c r="F36" s="411"/>
      <c r="G36" s="412">
        <f t="shared" ref="G36:G42" si="7">E36+F36</f>
        <v>0</v>
      </c>
      <c r="H36" s="410"/>
      <c r="I36" s="411"/>
      <c r="J36" s="412">
        <f t="shared" si="6"/>
        <v>0</v>
      </c>
      <c r="K36" s="410"/>
      <c r="L36" s="411"/>
      <c r="M36" s="412">
        <f t="shared" si="4"/>
        <v>0</v>
      </c>
      <c r="N36" s="410"/>
      <c r="O36" s="411"/>
      <c r="P36" s="412">
        <f t="shared" si="5"/>
        <v>0</v>
      </c>
    </row>
    <row r="37" spans="2:19" ht="15" customHeight="1">
      <c r="B37" s="413" t="s">
        <v>510</v>
      </c>
      <c r="C37" s="414" t="s">
        <v>511</v>
      </c>
      <c r="D37" s="415"/>
      <c r="E37" s="405"/>
      <c r="F37" s="406"/>
      <c r="G37" s="407">
        <f t="shared" si="7"/>
        <v>0</v>
      </c>
      <c r="H37" s="405"/>
      <c r="I37" s="406"/>
      <c r="J37" s="407">
        <f t="shared" si="6"/>
        <v>0</v>
      </c>
      <c r="K37" s="405"/>
      <c r="L37" s="406"/>
      <c r="M37" s="407">
        <f t="shared" si="4"/>
        <v>0</v>
      </c>
      <c r="N37" s="405"/>
      <c r="O37" s="406"/>
      <c r="P37" s="407">
        <f t="shared" si="5"/>
        <v>0</v>
      </c>
    </row>
    <row r="38" spans="2:19" ht="15" customHeight="1">
      <c r="B38" s="413" t="s">
        <v>512</v>
      </c>
      <c r="C38" s="416" t="s">
        <v>513</v>
      </c>
      <c r="D38" s="415"/>
      <c r="E38" s="405">
        <v>5291</v>
      </c>
      <c r="F38" s="406">
        <v>1051</v>
      </c>
      <c r="G38" s="407">
        <f t="shared" si="7"/>
        <v>6342</v>
      </c>
      <c r="H38" s="405">
        <v>1629.80332</v>
      </c>
      <c r="I38" s="406"/>
      <c r="J38" s="407">
        <f t="shared" si="6"/>
        <v>1629.80332</v>
      </c>
      <c r="K38" s="405"/>
      <c r="L38" s="406"/>
      <c r="M38" s="407">
        <f t="shared" si="4"/>
        <v>0</v>
      </c>
      <c r="N38" s="405">
        <v>1619.9033199999999</v>
      </c>
      <c r="O38" s="406"/>
      <c r="P38" s="407">
        <f t="shared" si="5"/>
        <v>1619.9033199999999</v>
      </c>
      <c r="S38" s="367" t="s">
        <v>529</v>
      </c>
    </row>
    <row r="39" spans="2:19" ht="15" customHeight="1">
      <c r="B39" s="413" t="s">
        <v>514</v>
      </c>
      <c r="C39" s="416" t="s">
        <v>515</v>
      </c>
      <c r="D39" s="415"/>
      <c r="E39" s="405">
        <v>18717</v>
      </c>
      <c r="F39" s="406"/>
      <c r="G39" s="407">
        <f t="shared" si="7"/>
        <v>18717</v>
      </c>
      <c r="H39" s="405">
        <v>18717</v>
      </c>
      <c r="I39" s="406"/>
      <c r="J39" s="407">
        <f t="shared" si="6"/>
        <v>18717</v>
      </c>
      <c r="K39" s="405"/>
      <c r="L39" s="406"/>
      <c r="M39" s="407">
        <f t="shared" si="4"/>
        <v>0</v>
      </c>
      <c r="N39" s="405"/>
      <c r="O39" s="406"/>
      <c r="P39" s="407">
        <f t="shared" si="5"/>
        <v>0</v>
      </c>
    </row>
    <row r="40" spans="2:19" ht="15" customHeight="1">
      <c r="B40" s="413" t="s">
        <v>516</v>
      </c>
      <c r="C40" s="416" t="s">
        <v>517</v>
      </c>
      <c r="D40" s="415"/>
      <c r="E40" s="405"/>
      <c r="F40" s="406"/>
      <c r="G40" s="407">
        <f t="shared" si="7"/>
        <v>0</v>
      </c>
      <c r="H40" s="405"/>
      <c r="I40" s="406"/>
      <c r="J40" s="407">
        <f t="shared" si="6"/>
        <v>0</v>
      </c>
      <c r="K40" s="405"/>
      <c r="L40" s="406"/>
      <c r="M40" s="407">
        <f t="shared" si="4"/>
        <v>0</v>
      </c>
      <c r="N40" s="405"/>
      <c r="O40" s="406"/>
      <c r="P40" s="407">
        <f t="shared" si="5"/>
        <v>0</v>
      </c>
    </row>
    <row r="41" spans="2:19" ht="15" customHeight="1" thickBot="1">
      <c r="B41" s="413" t="s">
        <v>518</v>
      </c>
      <c r="C41" s="416" t="s">
        <v>519</v>
      </c>
      <c r="D41" s="415"/>
      <c r="E41" s="405"/>
      <c r="F41" s="406"/>
      <c r="G41" s="407">
        <f t="shared" si="7"/>
        <v>0</v>
      </c>
      <c r="H41" s="405"/>
      <c r="I41" s="406"/>
      <c r="J41" s="407">
        <f t="shared" si="6"/>
        <v>0</v>
      </c>
      <c r="K41" s="405"/>
      <c r="L41" s="406"/>
      <c r="M41" s="407">
        <f t="shared" si="4"/>
        <v>0</v>
      </c>
      <c r="N41" s="405"/>
      <c r="O41" s="406"/>
      <c r="P41" s="407">
        <f t="shared" si="5"/>
        <v>0</v>
      </c>
    </row>
    <row r="42" spans="2:19" ht="17.25" customHeight="1" thickBot="1">
      <c r="B42" s="417" t="s">
        <v>520</v>
      </c>
      <c r="C42" s="418" t="s">
        <v>530</v>
      </c>
      <c r="D42" s="419"/>
      <c r="E42" s="420">
        <f>SUM(E35:E41)</f>
        <v>40348</v>
      </c>
      <c r="F42" s="421">
        <f>SUM(F35:F41)</f>
        <v>13401</v>
      </c>
      <c r="G42" s="422">
        <f t="shared" si="7"/>
        <v>53749</v>
      </c>
      <c r="H42" s="420">
        <f>SUM(H35:H41)</f>
        <v>35616.548609999998</v>
      </c>
      <c r="I42" s="421">
        <f>SUM(I35:I41)</f>
        <v>11493.633650000002</v>
      </c>
      <c r="J42" s="422">
        <f t="shared" si="6"/>
        <v>47110.182260000001</v>
      </c>
      <c r="K42" s="420">
        <f>SUM(K35:K41)</f>
        <v>0</v>
      </c>
      <c r="L42" s="421">
        <f>SUM(L35:L41)</f>
        <v>0</v>
      </c>
      <c r="M42" s="422">
        <f t="shared" si="4"/>
        <v>0</v>
      </c>
      <c r="N42" s="420">
        <f>SUM(N35:N41)-0.01</f>
        <v>6876.7181700000001</v>
      </c>
      <c r="O42" s="421">
        <f>SUM(O35:O41)</f>
        <v>957.21283000000005</v>
      </c>
      <c r="P42" s="422">
        <f t="shared" si="5"/>
        <v>7833.9310000000005</v>
      </c>
    </row>
    <row r="43" spans="2:19" ht="17.25" customHeight="1">
      <c r="B43" s="423"/>
      <c r="C43" s="424" t="s">
        <v>522</v>
      </c>
      <c r="D43" s="425" t="s">
        <v>523</v>
      </c>
      <c r="E43" s="426"/>
      <c r="F43" s="427" t="s">
        <v>524</v>
      </c>
      <c r="G43" s="428" t="s">
        <v>524</v>
      </c>
      <c r="H43" s="426"/>
      <c r="I43" s="427" t="s">
        <v>524</v>
      </c>
      <c r="J43" s="428" t="s">
        <v>524</v>
      </c>
      <c r="K43" s="426"/>
      <c r="L43" s="427" t="s">
        <v>524</v>
      </c>
      <c r="M43" s="428" t="s">
        <v>524</v>
      </c>
      <c r="N43" s="426"/>
      <c r="O43" s="427" t="s">
        <v>524</v>
      </c>
      <c r="P43" s="428" t="s">
        <v>524</v>
      </c>
    </row>
    <row r="44" spans="2:19" ht="17.25" customHeight="1">
      <c r="B44" s="423"/>
      <c r="C44" s="429"/>
      <c r="D44" s="430" t="s">
        <v>525</v>
      </c>
      <c r="E44" s="431">
        <v>5738</v>
      </c>
      <c r="F44" s="432" t="s">
        <v>524</v>
      </c>
      <c r="G44" s="433" t="s">
        <v>524</v>
      </c>
      <c r="H44" s="431">
        <v>5289.4660000000003</v>
      </c>
      <c r="I44" s="432" t="s">
        <v>524</v>
      </c>
      <c r="J44" s="433" t="s">
        <v>524</v>
      </c>
      <c r="K44" s="431"/>
      <c r="L44" s="432" t="s">
        <v>524</v>
      </c>
      <c r="M44" s="433" t="s">
        <v>524</v>
      </c>
      <c r="N44" s="431"/>
      <c r="O44" s="432" t="s">
        <v>524</v>
      </c>
      <c r="P44" s="433" t="s">
        <v>524</v>
      </c>
    </row>
    <row r="45" spans="2:19" ht="17.25" customHeight="1">
      <c r="B45" s="423"/>
      <c r="C45" s="429"/>
      <c r="D45" s="430" t="s">
        <v>526</v>
      </c>
      <c r="E45" s="431">
        <v>170</v>
      </c>
      <c r="F45" s="432" t="s">
        <v>524</v>
      </c>
      <c r="G45" s="433" t="s">
        <v>524</v>
      </c>
      <c r="H45" s="431">
        <v>505.8725</v>
      </c>
      <c r="I45" s="432" t="s">
        <v>524</v>
      </c>
      <c r="J45" s="433" t="s">
        <v>524</v>
      </c>
      <c r="K45" s="431"/>
      <c r="L45" s="432" t="s">
        <v>524</v>
      </c>
      <c r="M45" s="433" t="s">
        <v>524</v>
      </c>
      <c r="N45" s="431"/>
      <c r="O45" s="432" t="s">
        <v>524</v>
      </c>
      <c r="P45" s="433" t="s">
        <v>524</v>
      </c>
    </row>
    <row r="46" spans="2:19" ht="17.25" customHeight="1" thickBot="1">
      <c r="B46" s="434"/>
      <c r="C46" s="435"/>
      <c r="D46" s="436" t="s">
        <v>527</v>
      </c>
      <c r="E46" s="437"/>
      <c r="F46" s="438" t="s">
        <v>524</v>
      </c>
      <c r="G46" s="439" t="s">
        <v>524</v>
      </c>
      <c r="H46" s="437"/>
      <c r="I46" s="438" t="s">
        <v>524</v>
      </c>
      <c r="J46" s="439" t="s">
        <v>524</v>
      </c>
      <c r="K46" s="437"/>
      <c r="L46" s="438" t="s">
        <v>524</v>
      </c>
      <c r="M46" s="439" t="s">
        <v>524</v>
      </c>
      <c r="N46" s="437"/>
      <c r="O46" s="438" t="s">
        <v>524</v>
      </c>
      <c r="P46" s="439" t="s">
        <v>524</v>
      </c>
    </row>
    <row r="47" spans="2:19" ht="12.75" customHeight="1">
      <c r="E47" s="440"/>
      <c r="H47" s="440"/>
    </row>
    <row r="48" spans="2:19" ht="12" customHeight="1">
      <c r="F48" s="440"/>
    </row>
    <row r="49" spans="2:16" ht="15" customHeight="1">
      <c r="B49" s="372"/>
      <c r="P49" s="371"/>
    </row>
    <row r="50" spans="2:16" ht="56.25" customHeight="1">
      <c r="B50" s="1432" t="s">
        <v>531</v>
      </c>
      <c r="C50" s="1432"/>
      <c r="D50" s="1432"/>
      <c r="E50" s="1432"/>
      <c r="F50" s="1432"/>
      <c r="G50" s="1432"/>
      <c r="H50" s="1432"/>
      <c r="I50" s="1432"/>
      <c r="J50" s="1432"/>
      <c r="K50" s="1432"/>
      <c r="L50" s="1432"/>
      <c r="M50" s="1432"/>
      <c r="N50" s="1432"/>
      <c r="O50" s="1432"/>
      <c r="P50" s="1432"/>
    </row>
    <row r="51" spans="2:16" ht="16.5" thickBot="1">
      <c r="B51" s="375"/>
      <c r="C51" s="378"/>
      <c r="D51" s="378"/>
      <c r="E51" s="378"/>
      <c r="F51" s="378"/>
      <c r="G51" s="378"/>
      <c r="H51" s="378"/>
      <c r="I51" s="378"/>
      <c r="J51" s="378"/>
      <c r="K51" s="378"/>
      <c r="L51" s="378"/>
      <c r="M51" s="378"/>
      <c r="P51" s="379" t="s">
        <v>0</v>
      </c>
    </row>
    <row r="52" spans="2:16" ht="19.5" customHeight="1">
      <c r="B52" s="380"/>
      <c r="C52" s="381"/>
      <c r="D52" s="382"/>
      <c r="E52" s="383" t="s">
        <v>227</v>
      </c>
      <c r="F52" s="383"/>
      <c r="G52" s="384"/>
      <c r="H52" s="383" t="s">
        <v>4</v>
      </c>
      <c r="I52" s="383"/>
      <c r="J52" s="384"/>
      <c r="K52" s="1443" t="s">
        <v>496</v>
      </c>
      <c r="L52" s="1444"/>
      <c r="M52" s="1445"/>
      <c r="N52" s="1443" t="s">
        <v>497</v>
      </c>
      <c r="O52" s="1444"/>
      <c r="P52" s="1445"/>
    </row>
    <row r="53" spans="2:16" ht="19.5" customHeight="1">
      <c r="B53" s="385" t="s">
        <v>498</v>
      </c>
      <c r="C53" s="386"/>
      <c r="D53" s="387"/>
      <c r="E53" s="366" t="s">
        <v>500</v>
      </c>
      <c r="F53" s="366"/>
      <c r="G53" s="364"/>
      <c r="H53" s="366" t="s">
        <v>156</v>
      </c>
      <c r="I53" s="366"/>
      <c r="J53" s="388"/>
      <c r="K53" s="1433" t="s">
        <v>501</v>
      </c>
      <c r="L53" s="1446"/>
      <c r="M53" s="1447"/>
      <c r="N53" s="1433" t="s">
        <v>502</v>
      </c>
      <c r="O53" s="1446"/>
      <c r="P53" s="1447"/>
    </row>
    <row r="54" spans="2:16" ht="19.5" customHeight="1">
      <c r="B54" s="385"/>
      <c r="C54" s="389"/>
      <c r="D54" s="390"/>
      <c r="E54" s="391" t="s">
        <v>503</v>
      </c>
      <c r="F54" s="392" t="s">
        <v>504</v>
      </c>
      <c r="G54" s="390"/>
      <c r="H54" s="391" t="s">
        <v>503</v>
      </c>
      <c r="I54" s="392" t="s">
        <v>504</v>
      </c>
      <c r="J54" s="390"/>
      <c r="K54" s="391" t="s">
        <v>503</v>
      </c>
      <c r="L54" s="392" t="s">
        <v>504</v>
      </c>
      <c r="M54" s="390"/>
      <c r="N54" s="391" t="s">
        <v>503</v>
      </c>
      <c r="O54" s="393" t="s">
        <v>504</v>
      </c>
      <c r="P54" s="390"/>
    </row>
    <row r="55" spans="2:16" ht="19.5" customHeight="1" thickBot="1">
      <c r="B55" s="394"/>
      <c r="C55" s="395"/>
      <c r="D55" s="396"/>
      <c r="E55" s="397" t="s">
        <v>505</v>
      </c>
      <c r="F55" s="398" t="s">
        <v>505</v>
      </c>
      <c r="G55" s="396" t="s">
        <v>17</v>
      </c>
      <c r="H55" s="397" t="s">
        <v>505</v>
      </c>
      <c r="I55" s="398" t="s">
        <v>505</v>
      </c>
      <c r="J55" s="396" t="s">
        <v>17</v>
      </c>
      <c r="K55" s="397" t="s">
        <v>505</v>
      </c>
      <c r="L55" s="398" t="s">
        <v>505</v>
      </c>
      <c r="M55" s="396" t="s">
        <v>17</v>
      </c>
      <c r="N55" s="397" t="s">
        <v>505</v>
      </c>
      <c r="O55" s="398" t="s">
        <v>505</v>
      </c>
      <c r="P55" s="396" t="s">
        <v>17</v>
      </c>
    </row>
    <row r="56" spans="2:16" ht="13.5" thickBot="1">
      <c r="B56" s="444"/>
      <c r="C56" s="445"/>
      <c r="D56" s="446"/>
      <c r="E56" s="447">
        <v>1</v>
      </c>
      <c r="F56" s="401">
        <v>2</v>
      </c>
      <c r="G56" s="448">
        <v>3</v>
      </c>
      <c r="H56" s="447">
        <v>4</v>
      </c>
      <c r="I56" s="401">
        <v>5</v>
      </c>
      <c r="J56" s="448">
        <v>6</v>
      </c>
      <c r="K56" s="447">
        <v>7</v>
      </c>
      <c r="L56" s="401">
        <v>8</v>
      </c>
      <c r="M56" s="448">
        <v>9</v>
      </c>
      <c r="N56" s="447">
        <v>10</v>
      </c>
      <c r="O56" s="401">
        <v>11</v>
      </c>
      <c r="P56" s="448">
        <v>12</v>
      </c>
    </row>
    <row r="57" spans="2:16" ht="25.5" customHeight="1">
      <c r="B57" s="449" t="s">
        <v>506</v>
      </c>
      <c r="C57" s="1452" t="s">
        <v>532</v>
      </c>
      <c r="D57" s="1453"/>
      <c r="E57" s="450">
        <f>E58+E59</f>
        <v>0</v>
      </c>
      <c r="F57" s="451">
        <f>F58+F59</f>
        <v>0</v>
      </c>
      <c r="G57" s="452">
        <f>E57+F57</f>
        <v>0</v>
      </c>
      <c r="H57" s="450">
        <f>H58+H59</f>
        <v>0</v>
      </c>
      <c r="I57" s="451">
        <f>I58+I59</f>
        <v>0</v>
      </c>
      <c r="J57" s="452">
        <f>H57+I57</f>
        <v>0</v>
      </c>
      <c r="K57" s="450">
        <f>K58+K59</f>
        <v>0</v>
      </c>
      <c r="L57" s="451">
        <f>L58+L59</f>
        <v>0</v>
      </c>
      <c r="M57" s="452">
        <f>K57+L57</f>
        <v>0</v>
      </c>
      <c r="N57" s="450">
        <f>N58+N59</f>
        <v>0</v>
      </c>
      <c r="O57" s="451">
        <f>O58+O59</f>
        <v>0</v>
      </c>
      <c r="P57" s="452">
        <f>N57+O57</f>
        <v>0</v>
      </c>
    </row>
    <row r="58" spans="2:16" ht="18.75" customHeight="1">
      <c r="B58" s="402" t="s">
        <v>533</v>
      </c>
      <c r="C58" s="453" t="s">
        <v>534</v>
      </c>
      <c r="D58" s="454" t="s">
        <v>535</v>
      </c>
      <c r="E58" s="455">
        <f>E61+E64</f>
        <v>0</v>
      </c>
      <c r="F58" s="456">
        <f>F61+F64</f>
        <v>0</v>
      </c>
      <c r="G58" s="457">
        <f t="shared" ref="G58:G65" si="8">E58+F58</f>
        <v>0</v>
      </c>
      <c r="H58" s="455">
        <f>H61+H64</f>
        <v>0</v>
      </c>
      <c r="I58" s="456">
        <f>I61+I64</f>
        <v>0</v>
      </c>
      <c r="J58" s="457">
        <f t="shared" ref="J58:J65" si="9">H58+I58</f>
        <v>0</v>
      </c>
      <c r="K58" s="455">
        <f>K61+K64</f>
        <v>0</v>
      </c>
      <c r="L58" s="456">
        <f>L61+L64</f>
        <v>0</v>
      </c>
      <c r="M58" s="457">
        <f t="shared" ref="M58:M65" si="10">K58+L58</f>
        <v>0</v>
      </c>
      <c r="N58" s="455">
        <f>N61+N64</f>
        <v>0</v>
      </c>
      <c r="O58" s="456">
        <f>O61+O64</f>
        <v>0</v>
      </c>
      <c r="P58" s="457">
        <f t="shared" ref="P58:P65" si="11">N58+O58</f>
        <v>0</v>
      </c>
    </row>
    <row r="59" spans="2:16" ht="18.75" customHeight="1" thickBot="1">
      <c r="B59" s="394" t="s">
        <v>536</v>
      </c>
      <c r="C59" s="1454" t="s">
        <v>537</v>
      </c>
      <c r="D59" s="1455"/>
      <c r="E59" s="458">
        <f>E62+E65</f>
        <v>0</v>
      </c>
      <c r="F59" s="459">
        <f>F62+F65</f>
        <v>0</v>
      </c>
      <c r="G59" s="460">
        <f t="shared" si="8"/>
        <v>0</v>
      </c>
      <c r="H59" s="458">
        <f>H62+H65</f>
        <v>0</v>
      </c>
      <c r="I59" s="459">
        <f>I62+I65</f>
        <v>0</v>
      </c>
      <c r="J59" s="460">
        <f t="shared" si="9"/>
        <v>0</v>
      </c>
      <c r="K59" s="458">
        <f>K62+K65</f>
        <v>0</v>
      </c>
      <c r="L59" s="459">
        <f>L62+L65</f>
        <v>0</v>
      </c>
      <c r="M59" s="460">
        <f t="shared" si="10"/>
        <v>0</v>
      </c>
      <c r="N59" s="458">
        <f>N62+N65</f>
        <v>0</v>
      </c>
      <c r="O59" s="459">
        <f>O62+O65</f>
        <v>0</v>
      </c>
      <c r="P59" s="460">
        <f t="shared" si="11"/>
        <v>0</v>
      </c>
    </row>
    <row r="60" spans="2:16" ht="25.5" customHeight="1">
      <c r="B60" s="461" t="s">
        <v>538</v>
      </c>
      <c r="C60" s="1456" t="s">
        <v>539</v>
      </c>
      <c r="D60" s="1457"/>
      <c r="E60" s="462">
        <f>E61+E62</f>
        <v>0</v>
      </c>
      <c r="F60" s="463">
        <f>F61+F62</f>
        <v>0</v>
      </c>
      <c r="G60" s="464">
        <f t="shared" si="8"/>
        <v>0</v>
      </c>
      <c r="H60" s="462">
        <f>H61+H62</f>
        <v>0</v>
      </c>
      <c r="I60" s="463">
        <f>I61+I62</f>
        <v>0</v>
      </c>
      <c r="J60" s="464">
        <f t="shared" si="9"/>
        <v>0</v>
      </c>
      <c r="K60" s="462">
        <f>K61+K62</f>
        <v>0</v>
      </c>
      <c r="L60" s="463">
        <f>L61+L62</f>
        <v>0</v>
      </c>
      <c r="M60" s="464">
        <f t="shared" si="10"/>
        <v>0</v>
      </c>
      <c r="N60" s="462">
        <f>N61+N62</f>
        <v>0</v>
      </c>
      <c r="O60" s="463">
        <f>O61+O62</f>
        <v>0</v>
      </c>
      <c r="P60" s="464">
        <f t="shared" si="11"/>
        <v>0</v>
      </c>
    </row>
    <row r="61" spans="2:16" ht="18.75" customHeight="1">
      <c r="B61" s="402" t="s">
        <v>540</v>
      </c>
      <c r="C61" s="465" t="s">
        <v>534</v>
      </c>
      <c r="D61" s="466" t="s">
        <v>535</v>
      </c>
      <c r="E61" s="410"/>
      <c r="F61" s="411"/>
      <c r="G61" s="412">
        <f t="shared" si="8"/>
        <v>0</v>
      </c>
      <c r="H61" s="410"/>
      <c r="I61" s="411"/>
      <c r="J61" s="412">
        <f t="shared" si="9"/>
        <v>0</v>
      </c>
      <c r="K61" s="410"/>
      <c r="L61" s="411"/>
      <c r="M61" s="412">
        <f t="shared" si="10"/>
        <v>0</v>
      </c>
      <c r="N61" s="410"/>
      <c r="O61" s="411"/>
      <c r="P61" s="412">
        <f t="shared" si="11"/>
        <v>0</v>
      </c>
    </row>
    <row r="62" spans="2:16" ht="18.75" customHeight="1" thickBot="1">
      <c r="B62" s="394" t="s">
        <v>541</v>
      </c>
      <c r="C62" s="1454" t="s">
        <v>542</v>
      </c>
      <c r="D62" s="1455"/>
      <c r="E62" s="458"/>
      <c r="F62" s="459"/>
      <c r="G62" s="460">
        <f t="shared" si="8"/>
        <v>0</v>
      </c>
      <c r="H62" s="458"/>
      <c r="I62" s="459"/>
      <c r="J62" s="460">
        <f t="shared" si="9"/>
        <v>0</v>
      </c>
      <c r="K62" s="458"/>
      <c r="L62" s="459"/>
      <c r="M62" s="460">
        <f t="shared" si="10"/>
        <v>0</v>
      </c>
      <c r="N62" s="458"/>
      <c r="O62" s="459"/>
      <c r="P62" s="460">
        <f t="shared" si="11"/>
        <v>0</v>
      </c>
    </row>
    <row r="63" spans="2:16" ht="25.5" customHeight="1">
      <c r="B63" s="461" t="s">
        <v>543</v>
      </c>
      <c r="C63" s="1458" t="s">
        <v>544</v>
      </c>
      <c r="D63" s="1459"/>
      <c r="E63" s="462">
        <f>E64+E65</f>
        <v>0</v>
      </c>
      <c r="F63" s="463">
        <f>F64+F65</f>
        <v>0</v>
      </c>
      <c r="G63" s="464">
        <f t="shared" si="8"/>
        <v>0</v>
      </c>
      <c r="H63" s="462">
        <f>H64+H65</f>
        <v>0</v>
      </c>
      <c r="I63" s="463">
        <f>I64+I65</f>
        <v>0</v>
      </c>
      <c r="J63" s="464">
        <f t="shared" si="9"/>
        <v>0</v>
      </c>
      <c r="K63" s="462">
        <f>K64+K65</f>
        <v>0</v>
      </c>
      <c r="L63" s="463">
        <f>L64+L65</f>
        <v>0</v>
      </c>
      <c r="M63" s="464">
        <f t="shared" si="10"/>
        <v>0</v>
      </c>
      <c r="N63" s="462">
        <f>N64+N65</f>
        <v>0</v>
      </c>
      <c r="O63" s="463">
        <f>O64+O65</f>
        <v>0</v>
      </c>
      <c r="P63" s="464">
        <f t="shared" si="11"/>
        <v>0</v>
      </c>
    </row>
    <row r="64" spans="2:16" ht="18.75" customHeight="1">
      <c r="B64" s="402" t="s">
        <v>545</v>
      </c>
      <c r="C64" s="465" t="s">
        <v>534</v>
      </c>
      <c r="D64" s="466" t="s">
        <v>535</v>
      </c>
      <c r="E64" s="410"/>
      <c r="F64" s="411"/>
      <c r="G64" s="412">
        <f t="shared" si="8"/>
        <v>0</v>
      </c>
      <c r="H64" s="410"/>
      <c r="I64" s="411"/>
      <c r="J64" s="412">
        <f t="shared" si="9"/>
        <v>0</v>
      </c>
      <c r="K64" s="410"/>
      <c r="L64" s="411"/>
      <c r="M64" s="412">
        <f t="shared" si="10"/>
        <v>0</v>
      </c>
      <c r="N64" s="410"/>
      <c r="O64" s="411"/>
      <c r="P64" s="412">
        <f t="shared" si="11"/>
        <v>0</v>
      </c>
    </row>
    <row r="65" spans="2:16" ht="18.75" customHeight="1" thickBot="1">
      <c r="B65" s="394" t="s">
        <v>546</v>
      </c>
      <c r="C65" s="1454" t="s">
        <v>537</v>
      </c>
      <c r="D65" s="1455"/>
      <c r="E65" s="458"/>
      <c r="F65" s="459"/>
      <c r="G65" s="460">
        <f t="shared" si="8"/>
        <v>0</v>
      </c>
      <c r="H65" s="458"/>
      <c r="I65" s="459"/>
      <c r="J65" s="460">
        <f t="shared" si="9"/>
        <v>0</v>
      </c>
      <c r="K65" s="458"/>
      <c r="L65" s="459"/>
      <c r="M65" s="460">
        <f t="shared" si="10"/>
        <v>0</v>
      </c>
      <c r="N65" s="458"/>
      <c r="O65" s="459"/>
      <c r="P65" s="460">
        <f t="shared" si="11"/>
        <v>0</v>
      </c>
    </row>
    <row r="66" spans="2:16" ht="20.25" customHeight="1">
      <c r="B66" s="389"/>
      <c r="C66" s="467"/>
      <c r="D66" s="468"/>
      <c r="E66" s="389"/>
      <c r="F66" s="389"/>
      <c r="G66" s="389"/>
      <c r="H66" s="389"/>
      <c r="I66" s="389"/>
      <c r="J66" s="389"/>
      <c r="K66" s="389"/>
      <c r="L66" s="389"/>
      <c r="M66" s="389"/>
      <c r="N66" s="389"/>
      <c r="O66" s="389"/>
      <c r="P66" s="389"/>
    </row>
    <row r="67" spans="2:16" ht="15.75" customHeight="1">
      <c r="B67" s="389"/>
      <c r="C67" s="467"/>
      <c r="D67" s="468"/>
      <c r="E67" s="389"/>
      <c r="F67" s="389"/>
      <c r="G67" s="389"/>
      <c r="H67" s="389"/>
      <c r="I67" s="389"/>
      <c r="J67" s="389"/>
      <c r="K67" s="389"/>
      <c r="L67" s="389"/>
      <c r="M67" s="389"/>
      <c r="N67" s="389"/>
      <c r="O67" s="389"/>
      <c r="P67" s="371"/>
    </row>
    <row r="68" spans="2:16" ht="3.75" customHeight="1">
      <c r="B68" s="467"/>
      <c r="C68" s="467"/>
      <c r="D68" s="468"/>
      <c r="E68" s="389"/>
      <c r="F68" s="389"/>
      <c r="G68" s="389"/>
      <c r="H68" s="389"/>
      <c r="I68" s="389"/>
      <c r="J68" s="389"/>
      <c r="K68" s="389"/>
      <c r="L68" s="389"/>
      <c r="M68" s="389"/>
      <c r="N68" s="389"/>
      <c r="O68" s="389"/>
      <c r="P68" s="389"/>
    </row>
    <row r="69" spans="2:16" ht="5.25" customHeight="1">
      <c r="B69" s="467"/>
      <c r="C69" s="467"/>
      <c r="D69" s="468"/>
      <c r="E69" s="389"/>
      <c r="F69" s="389"/>
      <c r="G69" s="389"/>
      <c r="H69" s="389"/>
      <c r="I69" s="389"/>
      <c r="J69" s="389"/>
      <c r="K69" s="389"/>
      <c r="L69" s="389"/>
      <c r="M69" s="389"/>
      <c r="N69" s="389"/>
      <c r="O69" s="389"/>
      <c r="P69" s="389"/>
    </row>
    <row r="70" spans="2:16" ht="15.75">
      <c r="B70" s="376" t="s">
        <v>547</v>
      </c>
      <c r="C70" s="376"/>
      <c r="D70" s="376"/>
      <c r="E70" s="376"/>
      <c r="F70" s="376"/>
      <c r="G70" s="376"/>
      <c r="H70" s="376"/>
      <c r="I70" s="376"/>
      <c r="J70" s="376"/>
      <c r="K70" s="376"/>
      <c r="L70" s="376"/>
      <c r="M70" s="376"/>
      <c r="N70" s="376"/>
      <c r="O70" s="376"/>
      <c r="P70" s="376"/>
    </row>
    <row r="71" spans="2:16" ht="38.25" customHeight="1" thickBot="1">
      <c r="B71" s="377"/>
      <c r="C71" s="378"/>
      <c r="D71" s="378"/>
      <c r="E71" s="378"/>
      <c r="F71" s="378"/>
      <c r="G71" s="378"/>
      <c r="H71" s="378"/>
      <c r="I71" s="378"/>
      <c r="J71" s="378"/>
      <c r="K71" s="378"/>
      <c r="L71" s="378"/>
      <c r="M71" s="378"/>
      <c r="P71" s="379" t="s">
        <v>0</v>
      </c>
    </row>
    <row r="72" spans="2:16" ht="19.5" customHeight="1">
      <c r="B72" s="380"/>
      <c r="C72" s="381"/>
      <c r="D72" s="382"/>
      <c r="E72" s="383" t="s">
        <v>227</v>
      </c>
      <c r="F72" s="383"/>
      <c r="G72" s="384"/>
      <c r="H72" s="383" t="s">
        <v>4</v>
      </c>
      <c r="I72" s="383"/>
      <c r="J72" s="384"/>
      <c r="K72" s="1443" t="s">
        <v>496</v>
      </c>
      <c r="L72" s="1444"/>
      <c r="M72" s="1445"/>
      <c r="N72" s="1443" t="s">
        <v>497</v>
      </c>
      <c r="O72" s="1444"/>
      <c r="P72" s="1445"/>
    </row>
    <row r="73" spans="2:16" ht="19.5" customHeight="1">
      <c r="B73" s="385" t="s">
        <v>498</v>
      </c>
      <c r="C73" s="386" t="s">
        <v>499</v>
      </c>
      <c r="D73" s="387"/>
      <c r="E73" s="366" t="s">
        <v>500</v>
      </c>
      <c r="F73" s="366"/>
      <c r="G73" s="364"/>
      <c r="H73" s="366" t="s">
        <v>156</v>
      </c>
      <c r="I73" s="366"/>
      <c r="J73" s="388"/>
      <c r="K73" s="1433" t="s">
        <v>501</v>
      </c>
      <c r="L73" s="1446"/>
      <c r="M73" s="1447"/>
      <c r="N73" s="1433" t="s">
        <v>502</v>
      </c>
      <c r="O73" s="1446"/>
      <c r="P73" s="1447"/>
    </row>
    <row r="74" spans="2:16" ht="19.5" customHeight="1">
      <c r="B74" s="385"/>
      <c r="C74" s="389"/>
      <c r="D74" s="390"/>
      <c r="E74" s="391" t="s">
        <v>503</v>
      </c>
      <c r="F74" s="392" t="s">
        <v>504</v>
      </c>
      <c r="G74" s="390"/>
      <c r="H74" s="391" t="s">
        <v>503</v>
      </c>
      <c r="I74" s="392" t="s">
        <v>504</v>
      </c>
      <c r="J74" s="390"/>
      <c r="K74" s="391" t="s">
        <v>503</v>
      </c>
      <c r="L74" s="392" t="s">
        <v>504</v>
      </c>
      <c r="M74" s="390"/>
      <c r="N74" s="391" t="s">
        <v>503</v>
      </c>
      <c r="O74" s="393" t="s">
        <v>504</v>
      </c>
      <c r="P74" s="390"/>
    </row>
    <row r="75" spans="2:16" ht="19.5" customHeight="1" thickBot="1">
      <c r="B75" s="394"/>
      <c r="C75" s="395"/>
      <c r="D75" s="396"/>
      <c r="E75" s="397" t="s">
        <v>505</v>
      </c>
      <c r="F75" s="398" t="s">
        <v>505</v>
      </c>
      <c r="G75" s="396" t="s">
        <v>17</v>
      </c>
      <c r="H75" s="397" t="s">
        <v>505</v>
      </c>
      <c r="I75" s="398" t="s">
        <v>505</v>
      </c>
      <c r="J75" s="396" t="s">
        <v>17</v>
      </c>
      <c r="K75" s="397" t="s">
        <v>505</v>
      </c>
      <c r="L75" s="398" t="s">
        <v>505</v>
      </c>
      <c r="M75" s="396" t="s">
        <v>17</v>
      </c>
      <c r="N75" s="397" t="s">
        <v>505</v>
      </c>
      <c r="O75" s="398" t="s">
        <v>505</v>
      </c>
      <c r="P75" s="396" t="s">
        <v>17</v>
      </c>
    </row>
    <row r="76" spans="2:16" ht="13.5" thickBot="1">
      <c r="B76" s="444"/>
      <c r="C76" s="445"/>
      <c r="D76" s="446"/>
      <c r="E76" s="447">
        <v>1</v>
      </c>
      <c r="F76" s="401">
        <v>2</v>
      </c>
      <c r="G76" s="448">
        <v>3</v>
      </c>
      <c r="H76" s="447">
        <v>4</v>
      </c>
      <c r="I76" s="401">
        <v>5</v>
      </c>
      <c r="J76" s="448">
        <v>6</v>
      </c>
      <c r="K76" s="447">
        <v>7</v>
      </c>
      <c r="L76" s="401">
        <v>8</v>
      </c>
      <c r="M76" s="448">
        <v>9</v>
      </c>
      <c r="N76" s="447">
        <v>10</v>
      </c>
      <c r="O76" s="401">
        <v>11</v>
      </c>
      <c r="P76" s="448">
        <v>12</v>
      </c>
    </row>
    <row r="77" spans="2:16" ht="27" customHeight="1" thickBot="1">
      <c r="B77" s="417" t="s">
        <v>506</v>
      </c>
      <c r="C77" s="1448" t="s">
        <v>548</v>
      </c>
      <c r="D77" s="1449"/>
      <c r="E77" s="420">
        <f>E78+E79</f>
        <v>325731.92499999999</v>
      </c>
      <c r="F77" s="421">
        <f>F78+F79</f>
        <v>14022.666999999999</v>
      </c>
      <c r="G77" s="422">
        <f>E77+F77+0.01</f>
        <v>339754.60200000001</v>
      </c>
      <c r="H77" s="420">
        <f>H78+H79</f>
        <v>405781.34392000001</v>
      </c>
      <c r="I77" s="421">
        <f>I78+I79</f>
        <v>13792.367420000002</v>
      </c>
      <c r="J77" s="422">
        <f>H77+I77</f>
        <v>419573.71134000004</v>
      </c>
      <c r="K77" s="420">
        <f>K78+K79</f>
        <v>0</v>
      </c>
      <c r="L77" s="421">
        <f>L78+L79</f>
        <v>0</v>
      </c>
      <c r="M77" s="422">
        <f>K77+L77</f>
        <v>0</v>
      </c>
      <c r="N77" s="420">
        <f>N78+N79</f>
        <v>143560.16675</v>
      </c>
      <c r="O77" s="421">
        <f>O78+O79</f>
        <v>2754.1311599999999</v>
      </c>
      <c r="P77" s="422">
        <f>N77+O77</f>
        <v>146314.29790999999</v>
      </c>
    </row>
    <row r="78" spans="2:16" ht="18.75" customHeight="1" thickBot="1">
      <c r="B78" s="444" t="s">
        <v>538</v>
      </c>
      <c r="C78" s="469" t="s">
        <v>534</v>
      </c>
      <c r="D78" s="365" t="s">
        <v>549</v>
      </c>
      <c r="E78" s="470">
        <f>E21+E42</f>
        <v>325731.92499999999</v>
      </c>
      <c r="F78" s="471">
        <f>F21+F42</f>
        <v>14022.666999999999</v>
      </c>
      <c r="G78" s="472">
        <f>E78+F78+0.01</f>
        <v>339754.60200000001</v>
      </c>
      <c r="H78" s="470">
        <f>H21+H42</f>
        <v>405781.34392000001</v>
      </c>
      <c r="I78" s="471">
        <f>I21+I42</f>
        <v>13792.367420000002</v>
      </c>
      <c r="J78" s="472">
        <f>H78+I78</f>
        <v>419573.71134000004</v>
      </c>
      <c r="K78" s="470">
        <f>K21+K42</f>
        <v>0</v>
      </c>
      <c r="L78" s="471">
        <f>L21+L42</f>
        <v>0</v>
      </c>
      <c r="M78" s="472">
        <f>K78+L78</f>
        <v>0</v>
      </c>
      <c r="N78" s="470">
        <f>N21+N42</f>
        <v>143560.16675</v>
      </c>
      <c r="O78" s="471">
        <f>O21+O42</f>
        <v>2754.1311599999999</v>
      </c>
      <c r="P78" s="472">
        <f>N78+O78</f>
        <v>146314.29790999999</v>
      </c>
    </row>
    <row r="79" spans="2:16" ht="27.75" customHeight="1" thickBot="1">
      <c r="B79" s="444" t="s">
        <v>543</v>
      </c>
      <c r="C79" s="1450" t="s">
        <v>550</v>
      </c>
      <c r="D79" s="1451"/>
      <c r="E79" s="470">
        <f>E59</f>
        <v>0</v>
      </c>
      <c r="F79" s="471">
        <f>F59</f>
        <v>0</v>
      </c>
      <c r="G79" s="472">
        <f>E79+F79</f>
        <v>0</v>
      </c>
      <c r="H79" s="470">
        <f>H59</f>
        <v>0</v>
      </c>
      <c r="I79" s="471">
        <f>I59</f>
        <v>0</v>
      </c>
      <c r="J79" s="472">
        <f>H79+I79</f>
        <v>0</v>
      </c>
      <c r="K79" s="470">
        <f>K59</f>
        <v>0</v>
      </c>
      <c r="L79" s="471">
        <f>L59</f>
        <v>0</v>
      </c>
      <c r="M79" s="472">
        <f>K79+L79</f>
        <v>0</v>
      </c>
      <c r="N79" s="470">
        <f>N59</f>
        <v>0</v>
      </c>
      <c r="O79" s="471">
        <f>O59</f>
        <v>0</v>
      </c>
      <c r="P79" s="472">
        <f>N79+O79</f>
        <v>0</v>
      </c>
    </row>
    <row r="80" spans="2:16" ht="15" customHeight="1">
      <c r="B80" s="467"/>
      <c r="C80" s="467"/>
      <c r="D80" s="468"/>
      <c r="E80" s="389"/>
      <c r="F80" s="389"/>
      <c r="G80" s="389"/>
      <c r="H80" s="389"/>
      <c r="I80" s="389"/>
      <c r="J80" s="389"/>
      <c r="K80" s="389"/>
      <c r="L80" s="389"/>
      <c r="M80" s="389"/>
      <c r="N80" s="389"/>
      <c r="O80" s="389"/>
      <c r="P80" s="389"/>
    </row>
    <row r="81" spans="2:13" ht="47.25" customHeight="1">
      <c r="B81" s="1431" t="s">
        <v>551</v>
      </c>
      <c r="C81" s="1432"/>
      <c r="D81" s="1432"/>
      <c r="E81" s="1432"/>
      <c r="F81" s="1432"/>
      <c r="G81" s="1432"/>
      <c r="H81" s="1432"/>
      <c r="I81" s="1432"/>
      <c r="J81" s="1432"/>
      <c r="K81" s="1432"/>
      <c r="L81" s="1432"/>
      <c r="M81" s="1432"/>
    </row>
    <row r="82" spans="2:13" ht="42" customHeight="1" thickBot="1">
      <c r="K82" s="473"/>
      <c r="L82" s="473"/>
      <c r="M82" s="379" t="s">
        <v>0</v>
      </c>
    </row>
    <row r="83" spans="2:13" ht="19.5" customHeight="1">
      <c r="B83" s="380"/>
      <c r="C83" s="381"/>
      <c r="D83" s="382"/>
      <c r="E83" s="383" t="s">
        <v>552</v>
      </c>
      <c r="F83" s="383"/>
      <c r="G83" s="384"/>
      <c r="H83" s="383" t="s">
        <v>552</v>
      </c>
      <c r="I83" s="383"/>
      <c r="J83" s="474"/>
      <c r="K83" s="475" t="s">
        <v>552</v>
      </c>
      <c r="L83" s="383"/>
      <c r="M83" s="384"/>
    </row>
    <row r="84" spans="2:13" ht="19.5" customHeight="1">
      <c r="B84" s="385" t="s">
        <v>498</v>
      </c>
      <c r="C84" s="386"/>
      <c r="D84" s="387"/>
      <c r="E84" s="1433" t="s">
        <v>553</v>
      </c>
      <c r="F84" s="1434"/>
      <c r="G84" s="1435"/>
      <c r="H84" s="1436" t="s">
        <v>554</v>
      </c>
      <c r="I84" s="1437"/>
      <c r="J84" s="1437"/>
      <c r="K84" s="1436" t="s">
        <v>555</v>
      </c>
      <c r="L84" s="1437"/>
      <c r="M84" s="1438"/>
    </row>
    <row r="85" spans="2:13" ht="19.5" customHeight="1">
      <c r="B85" s="385"/>
      <c r="C85" s="389"/>
      <c r="D85" s="390"/>
      <c r="E85" s="391" t="s">
        <v>503</v>
      </c>
      <c r="F85" s="393" t="s">
        <v>504</v>
      </c>
      <c r="G85" s="390"/>
      <c r="H85" s="391" t="s">
        <v>503</v>
      </c>
      <c r="I85" s="392" t="s">
        <v>504</v>
      </c>
      <c r="J85" s="389"/>
      <c r="K85" s="476" t="s">
        <v>503</v>
      </c>
      <c r="L85" s="392" t="s">
        <v>504</v>
      </c>
      <c r="M85" s="390"/>
    </row>
    <row r="86" spans="2:13" ht="19.5" customHeight="1" thickBot="1">
      <c r="B86" s="394"/>
      <c r="C86" s="395"/>
      <c r="D86" s="396"/>
      <c r="E86" s="397" t="s">
        <v>505</v>
      </c>
      <c r="F86" s="398" t="s">
        <v>505</v>
      </c>
      <c r="G86" s="396" t="s">
        <v>17</v>
      </c>
      <c r="H86" s="397" t="s">
        <v>505</v>
      </c>
      <c r="I86" s="398" t="s">
        <v>505</v>
      </c>
      <c r="J86" s="395" t="s">
        <v>17</v>
      </c>
      <c r="K86" s="477" t="s">
        <v>505</v>
      </c>
      <c r="L86" s="398" t="s">
        <v>505</v>
      </c>
      <c r="M86" s="396" t="s">
        <v>17</v>
      </c>
    </row>
    <row r="87" spans="2:13" ht="13.5" thickBot="1">
      <c r="B87" s="394"/>
      <c r="C87" s="399"/>
      <c r="D87" s="400"/>
      <c r="E87" s="397">
        <v>1</v>
      </c>
      <c r="F87" s="401">
        <v>2</v>
      </c>
      <c r="G87" s="396">
        <v>3</v>
      </c>
      <c r="H87" s="447">
        <v>4</v>
      </c>
      <c r="I87" s="401">
        <v>5</v>
      </c>
      <c r="J87" s="478">
        <v>6</v>
      </c>
      <c r="K87" s="479">
        <v>7</v>
      </c>
      <c r="L87" s="401">
        <v>8</v>
      </c>
      <c r="M87" s="448">
        <v>9</v>
      </c>
    </row>
    <row r="88" spans="2:13" ht="18.75" customHeight="1">
      <c r="B88" s="402" t="s">
        <v>506</v>
      </c>
      <c r="C88" s="1439" t="s">
        <v>556</v>
      </c>
      <c r="D88" s="1440"/>
      <c r="E88" s="405">
        <v>331174.06701</v>
      </c>
      <c r="F88" s="406">
        <v>8040.7626700000001</v>
      </c>
      <c r="G88" s="407">
        <f>E88+F88</f>
        <v>339214.82968000002</v>
      </c>
      <c r="H88" s="405">
        <v>31.059080000000002</v>
      </c>
      <c r="I88" s="406">
        <v>1.454</v>
      </c>
      <c r="J88" s="480">
        <f>H88+I88</f>
        <v>32.513080000000002</v>
      </c>
      <c r="K88" s="481">
        <v>241306.41917000001</v>
      </c>
      <c r="L88" s="406">
        <v>9410.5016500000002</v>
      </c>
      <c r="M88" s="482">
        <f>K88+L88</f>
        <v>250716.92082</v>
      </c>
    </row>
    <row r="89" spans="2:13" ht="18.75" customHeight="1">
      <c r="B89" s="413" t="s">
        <v>508</v>
      </c>
      <c r="C89" s="1441" t="s">
        <v>557</v>
      </c>
      <c r="D89" s="1442"/>
      <c r="E89" s="405">
        <v>20404.414769999999</v>
      </c>
      <c r="F89" s="406">
        <v>1708.0887</v>
      </c>
      <c r="G89" s="407">
        <f>E89+F89</f>
        <v>22112.50347</v>
      </c>
      <c r="H89" s="405">
        <v>4862.3872799999999</v>
      </c>
      <c r="I89" s="406">
        <v>700</v>
      </c>
      <c r="J89" s="483">
        <f>H89+I89</f>
        <v>5562.3872799999999</v>
      </c>
      <c r="K89" s="481">
        <v>26746.124</v>
      </c>
      <c r="L89" s="406">
        <v>3614.9970499999999</v>
      </c>
      <c r="M89" s="484">
        <f>K89+L89</f>
        <v>30361.121050000002</v>
      </c>
    </row>
    <row r="90" spans="2:13" ht="18.75" customHeight="1">
      <c r="B90" s="413" t="s">
        <v>558</v>
      </c>
      <c r="C90" s="485" t="s">
        <v>559</v>
      </c>
      <c r="D90" s="466"/>
      <c r="E90" s="405"/>
      <c r="F90" s="406"/>
      <c r="G90" s="407">
        <f>E90+F90</f>
        <v>0</v>
      </c>
      <c r="H90" s="405"/>
      <c r="I90" s="406"/>
      <c r="J90" s="486">
        <f>H90+I90</f>
        <v>0</v>
      </c>
      <c r="K90" s="481"/>
      <c r="L90" s="406"/>
      <c r="M90" s="487">
        <f>K90+L90</f>
        <v>0</v>
      </c>
    </row>
    <row r="91" spans="2:13" ht="18.75" customHeight="1">
      <c r="B91" s="413" t="s">
        <v>510</v>
      </c>
      <c r="C91" s="1429" t="s">
        <v>560</v>
      </c>
      <c r="D91" s="1430"/>
      <c r="E91" s="405"/>
      <c r="F91" s="406"/>
      <c r="G91" s="407">
        <f>E91+F91</f>
        <v>0</v>
      </c>
      <c r="H91" s="405"/>
      <c r="I91" s="406"/>
      <c r="J91" s="486">
        <f>H91+I91</f>
        <v>0</v>
      </c>
      <c r="K91" s="481"/>
      <c r="L91" s="406"/>
      <c r="M91" s="487">
        <f>K91+L91</f>
        <v>0</v>
      </c>
    </row>
    <row r="92" spans="2:13" ht="22.5" customHeight="1" thickBot="1">
      <c r="B92" s="488" t="s">
        <v>561</v>
      </c>
      <c r="C92" s="489" t="s">
        <v>562</v>
      </c>
      <c r="D92" s="490"/>
      <c r="E92" s="491">
        <f>E88+E89+E91</f>
        <v>351578.48177999997</v>
      </c>
      <c r="F92" s="492">
        <f>F88+F89+F91</f>
        <v>9748.8513700000003</v>
      </c>
      <c r="G92" s="493">
        <f>E92+F92</f>
        <v>361327.33314999996</v>
      </c>
      <c r="H92" s="491">
        <f>H88+H89+H91</f>
        <v>4893.4463599999999</v>
      </c>
      <c r="I92" s="492">
        <f>I88+I89+I91</f>
        <v>701.45399999999995</v>
      </c>
      <c r="J92" s="494">
        <f>H92+I92</f>
        <v>5594.9003599999996</v>
      </c>
      <c r="K92" s="495">
        <f>K88+K89+K91</f>
        <v>268052.54317000002</v>
      </c>
      <c r="L92" s="492">
        <f>L88+L89+L91</f>
        <v>13025.4987</v>
      </c>
      <c r="M92" s="496">
        <f>K92+L92</f>
        <v>281078.04187000002</v>
      </c>
    </row>
    <row r="93" spans="2:13" ht="8.25" customHeight="1">
      <c r="B93" s="389"/>
      <c r="C93" s="497"/>
      <c r="D93" s="389"/>
      <c r="E93" s="497"/>
      <c r="F93" s="497"/>
      <c r="G93" s="497"/>
      <c r="H93" s="497"/>
      <c r="I93" s="497"/>
      <c r="J93" s="497"/>
      <c r="K93" s="498"/>
      <c r="L93" s="498"/>
      <c r="M93" s="497"/>
    </row>
    <row r="94" spans="2:13" ht="11.25" customHeight="1">
      <c r="B94" s="499" t="s">
        <v>563</v>
      </c>
    </row>
    <row r="95" spans="2:13">
      <c r="B95" s="443" t="s">
        <v>564</v>
      </c>
    </row>
    <row r="96" spans="2:13">
      <c r="B96" s="443" t="s">
        <v>565</v>
      </c>
    </row>
    <row r="97" spans="2:16">
      <c r="B97" s="443" t="s">
        <v>566</v>
      </c>
    </row>
    <row r="98" spans="2:16">
      <c r="B98" s="372" t="s">
        <v>567</v>
      </c>
    </row>
    <row r="99" spans="2:16">
      <c r="B99" s="372" t="s">
        <v>568</v>
      </c>
    </row>
    <row r="100" spans="2:16" ht="7.5" customHeight="1">
      <c r="B100" s="389"/>
      <c r="C100" s="497"/>
      <c r="D100" s="389"/>
      <c r="E100" s="497"/>
      <c r="F100" s="497"/>
      <c r="G100" s="497"/>
      <c r="H100" s="497"/>
      <c r="I100" s="497"/>
      <c r="J100" s="497"/>
      <c r="K100" s="498"/>
      <c r="L100" s="498"/>
      <c r="M100" s="497"/>
    </row>
    <row r="101" spans="2:16" ht="12.75" customHeight="1">
      <c r="B101" s="499" t="s">
        <v>569</v>
      </c>
      <c r="C101" s="467"/>
      <c r="D101" s="468"/>
      <c r="E101" s="389"/>
      <c r="F101" s="389"/>
      <c r="G101" s="389"/>
      <c r="H101" s="389"/>
      <c r="I101" s="389"/>
      <c r="J101" s="389"/>
      <c r="K101" s="389"/>
      <c r="L101" s="389"/>
      <c r="M101" s="389"/>
      <c r="N101" s="389"/>
      <c r="O101" s="389"/>
      <c r="P101" s="389"/>
    </row>
    <row r="102" spans="2:16" ht="12.75" customHeight="1">
      <c r="B102" s="500" t="s">
        <v>570</v>
      </c>
      <c r="C102" s="467"/>
      <c r="D102" s="468"/>
      <c r="E102" s="389"/>
      <c r="F102" s="389"/>
      <c r="G102" s="389"/>
      <c r="H102" s="389"/>
      <c r="I102" s="389"/>
      <c r="J102" s="389"/>
      <c r="K102" s="389"/>
      <c r="L102" s="389"/>
      <c r="M102" s="389"/>
      <c r="N102" s="389"/>
      <c r="O102" s="389"/>
      <c r="P102" s="389"/>
    </row>
    <row r="103" spans="2:16" ht="12.75" customHeight="1">
      <c r="B103" s="500" t="s">
        <v>571</v>
      </c>
      <c r="C103" s="467"/>
      <c r="D103" s="468"/>
      <c r="E103" s="389"/>
      <c r="F103" s="389"/>
      <c r="G103" s="389"/>
      <c r="H103" s="389"/>
      <c r="I103" s="389"/>
      <c r="J103" s="389"/>
      <c r="K103" s="389"/>
      <c r="L103" s="389"/>
      <c r="M103" s="389"/>
      <c r="N103" s="389"/>
      <c r="O103" s="389"/>
      <c r="P103" s="389"/>
    </row>
    <row r="104" spans="2:16" ht="12.75" customHeight="1">
      <c r="B104" s="500" t="s">
        <v>572</v>
      </c>
      <c r="C104" s="497"/>
      <c r="D104" s="389"/>
      <c r="E104" s="497"/>
      <c r="F104" s="497"/>
      <c r="G104" s="497"/>
      <c r="H104" s="497"/>
      <c r="I104" s="497"/>
      <c r="J104" s="497"/>
      <c r="K104" s="498"/>
      <c r="L104" s="498"/>
      <c r="M104" s="497"/>
    </row>
    <row r="105" spans="2:16" ht="8.25" customHeight="1">
      <c r="B105" s="500"/>
      <c r="C105" s="497"/>
      <c r="D105" s="389"/>
      <c r="E105" s="497"/>
      <c r="F105" s="497"/>
      <c r="G105" s="497"/>
      <c r="H105" s="497"/>
      <c r="I105" s="497"/>
      <c r="J105" s="497"/>
      <c r="K105" s="498"/>
      <c r="L105" s="498"/>
      <c r="M105" s="497"/>
    </row>
    <row r="106" spans="2:16" ht="12" customHeight="1">
      <c r="B106" s="499" t="s">
        <v>573</v>
      </c>
      <c r="C106" s="497"/>
      <c r="D106" s="389"/>
      <c r="E106" s="497"/>
      <c r="F106" s="497"/>
      <c r="G106" s="497"/>
      <c r="H106" s="497"/>
      <c r="I106" s="497"/>
      <c r="J106" s="497"/>
      <c r="K106" s="498"/>
      <c r="L106" s="498"/>
      <c r="M106" s="497"/>
    </row>
    <row r="107" spans="2:16">
      <c r="B107" s="443" t="s">
        <v>574</v>
      </c>
      <c r="C107" s="497"/>
      <c r="D107" s="389"/>
      <c r="E107" s="497"/>
      <c r="F107" s="497"/>
      <c r="G107" s="497"/>
      <c r="H107" s="497"/>
      <c r="I107" s="497"/>
      <c r="J107" s="497"/>
      <c r="K107" s="498"/>
      <c r="L107" s="498"/>
      <c r="M107" s="497"/>
    </row>
    <row r="108" spans="2:16">
      <c r="B108" s="443" t="s">
        <v>575</v>
      </c>
      <c r="C108" s="497"/>
      <c r="D108" s="389"/>
      <c r="E108" s="497"/>
      <c r="F108" s="497"/>
      <c r="G108" s="497"/>
      <c r="H108" s="497"/>
      <c r="I108" s="497"/>
      <c r="J108" s="497"/>
      <c r="K108" s="498"/>
      <c r="L108" s="498"/>
      <c r="M108" s="497"/>
    </row>
    <row r="109" spans="2:16" ht="5.25" customHeight="1"/>
    <row r="110" spans="2:16">
      <c r="B110" s="501" t="s">
        <v>576</v>
      </c>
      <c r="C110" s="443"/>
      <c r="D110" s="502"/>
      <c r="E110" s="503"/>
      <c r="F110" s="503"/>
      <c r="G110" s="503"/>
      <c r="H110" s="503"/>
      <c r="I110" s="503"/>
      <c r="J110" s="443"/>
      <c r="K110" s="503"/>
      <c r="L110" s="503"/>
      <c r="M110" s="503"/>
    </row>
    <row r="111" spans="2:16">
      <c r="B111" s="500"/>
      <c r="C111" s="443"/>
      <c r="D111" s="502"/>
      <c r="E111" s="503"/>
      <c r="F111" s="503"/>
      <c r="G111" s="503"/>
      <c r="H111" s="503"/>
      <c r="I111" s="503"/>
      <c r="J111" s="443"/>
      <c r="K111" s="503"/>
      <c r="L111" s="503"/>
      <c r="M111" s="503"/>
    </row>
    <row r="112" spans="2:16" ht="3.75" customHeight="1">
      <c r="B112" s="500"/>
      <c r="C112" s="443"/>
      <c r="D112" s="502"/>
      <c r="E112" s="503"/>
      <c r="F112" s="503"/>
      <c r="G112" s="503"/>
      <c r="H112" s="503"/>
      <c r="I112" s="503"/>
      <c r="J112" s="443"/>
      <c r="K112" s="503"/>
      <c r="L112" s="503"/>
      <c r="M112" s="503"/>
    </row>
    <row r="113" spans="2:16" ht="6.75" customHeight="1">
      <c r="B113" s="443"/>
    </row>
    <row r="114" spans="2:16" ht="35.25" customHeight="1">
      <c r="B114" s="504" t="s">
        <v>578</v>
      </c>
      <c r="C114" s="504"/>
      <c r="D114" s="504"/>
      <c r="E114" s="504"/>
      <c r="F114" s="504"/>
      <c r="G114" s="505"/>
      <c r="H114" s="505"/>
      <c r="I114" s="504" t="s">
        <v>577</v>
      </c>
      <c r="J114" s="505"/>
      <c r="K114" s="505"/>
      <c r="L114" s="505"/>
      <c r="M114" s="505"/>
      <c r="N114" s="505"/>
      <c r="O114" s="504" t="s">
        <v>215</v>
      </c>
      <c r="P114" s="505"/>
    </row>
    <row r="115" spans="2:16" ht="23.25" customHeight="1">
      <c r="B115" s="504"/>
      <c r="C115" s="504"/>
      <c r="D115" s="504"/>
      <c r="E115" s="504"/>
      <c r="F115" s="504"/>
      <c r="G115" s="505"/>
      <c r="H115" s="505"/>
      <c r="I115" s="504"/>
      <c r="J115" s="505"/>
      <c r="K115" s="505"/>
      <c r="L115" s="505"/>
      <c r="M115" s="505"/>
      <c r="N115" s="505"/>
      <c r="O115" s="505"/>
      <c r="P115" s="505"/>
    </row>
    <row r="116" spans="2:16">
      <c r="B116" s="505"/>
      <c r="C116" s="505"/>
      <c r="D116" s="505"/>
      <c r="E116" s="505"/>
      <c r="F116" s="505"/>
      <c r="G116" s="505"/>
      <c r="H116" s="505"/>
      <c r="I116" s="505"/>
      <c r="J116" s="505"/>
      <c r="K116" s="505"/>
      <c r="L116" s="505"/>
      <c r="M116" s="505"/>
      <c r="N116" s="505"/>
      <c r="O116" s="505"/>
      <c r="P116" s="505"/>
    </row>
  </sheetData>
  <mergeCells count="33">
    <mergeCell ref="K53:M53"/>
    <mergeCell ref="N53:P53"/>
    <mergeCell ref="B4:I4"/>
    <mergeCell ref="K9:M9"/>
    <mergeCell ref="N9:P9"/>
    <mergeCell ref="K10:M10"/>
    <mergeCell ref="N10:P10"/>
    <mergeCell ref="K30:M30"/>
    <mergeCell ref="N30:P30"/>
    <mergeCell ref="K31:M31"/>
    <mergeCell ref="N31:P31"/>
    <mergeCell ref="B50:P50"/>
    <mergeCell ref="K52:M52"/>
    <mergeCell ref="N52:P52"/>
    <mergeCell ref="C79:D79"/>
    <mergeCell ref="C57:D57"/>
    <mergeCell ref="C59:D59"/>
    <mergeCell ref="C60:D60"/>
    <mergeCell ref="C62:D62"/>
    <mergeCell ref="C63:D63"/>
    <mergeCell ref="C65:D65"/>
    <mergeCell ref="K72:M72"/>
    <mergeCell ref="N72:P72"/>
    <mergeCell ref="K73:M73"/>
    <mergeCell ref="N73:P73"/>
    <mergeCell ref="C77:D77"/>
    <mergeCell ref="C91:D91"/>
    <mergeCell ref="B81:M81"/>
    <mergeCell ref="E84:G84"/>
    <mergeCell ref="H84:J84"/>
    <mergeCell ref="K84:M84"/>
    <mergeCell ref="C88:D88"/>
    <mergeCell ref="C89:D89"/>
  </mergeCells>
  <printOptions horizontalCentered="1"/>
  <pageMargins left="0.9055118110236221" right="0.9055118110236221" top="0.98425196850393704" bottom="0.98425196850393704" header="0.70866141732283472" footer="0.31496062992125984"/>
  <pageSetup paperSize="9" scale="60" fitToHeight="3" orientation="landscape" r:id="rId1"/>
  <headerFooter>
    <oddHeader>&amp;R&amp;"Arial CE,Tučné"&amp;12Tabulka č. 4
&amp;"Arial CE,Obyčejné"&amp;11Strana č. &amp;P/&amp;N</oddHeader>
    <oddFooter xml:space="preserve">&amp;C&amp;12&amp;P+13&amp;10
</oddFooter>
  </headerFooter>
  <rowBreaks count="2" manualBreakCount="2">
    <brk id="48" max="16383" man="1"/>
    <brk id="80" max="1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tabColor theme="9" tint="0.59999389629810485"/>
    <pageSetUpPr fitToPage="1"/>
  </sheetPr>
  <dimension ref="B1:L73"/>
  <sheetViews>
    <sheetView showGridLines="0" topLeftCell="A4" zoomScale="85" zoomScaleNormal="85" zoomScaleSheetLayoutView="80" workbookViewId="0">
      <selection activeCell="B12" sqref="B12"/>
    </sheetView>
  </sheetViews>
  <sheetFormatPr defaultRowHeight="12.75"/>
  <cols>
    <col min="1" max="1" width="1.140625" style="5" customWidth="1"/>
    <col min="2" max="2" width="7.140625" style="5" customWidth="1"/>
    <col min="3" max="3" width="42.7109375" style="5" customWidth="1"/>
    <col min="4" max="4" width="21.42578125" style="5" customWidth="1"/>
    <col min="5" max="5" width="11.85546875" style="5" customWidth="1"/>
    <col min="6" max="8" width="12.7109375" style="5" customWidth="1"/>
    <col min="9" max="9" width="9.140625" style="5"/>
    <col min="10" max="10" width="10.28515625" style="5" bestFit="1" customWidth="1"/>
    <col min="11" max="11" width="11.7109375" style="5" bestFit="1" customWidth="1"/>
    <col min="12" max="12" width="12.7109375" style="5" bestFit="1" customWidth="1"/>
    <col min="13" max="16384" width="9.140625" style="5"/>
  </cols>
  <sheetData>
    <row r="1" spans="2:11" s="4" customFormat="1" ht="22.5" customHeight="1">
      <c r="B1" s="54" t="s">
        <v>157</v>
      </c>
      <c r="C1" s="2"/>
      <c r="D1" s="2"/>
      <c r="E1" s="2"/>
      <c r="F1" s="2"/>
      <c r="G1" s="1464" t="s">
        <v>6</v>
      </c>
      <c r="H1" s="1464"/>
    </row>
    <row r="2" spans="2:11" ht="36" customHeight="1">
      <c r="B2" s="2"/>
      <c r="C2" s="2"/>
      <c r="D2" s="2"/>
      <c r="E2" s="2"/>
      <c r="F2" s="2"/>
      <c r="G2" s="2"/>
      <c r="H2" s="1"/>
    </row>
    <row r="3" spans="2:11" s="6" customFormat="1" ht="15.75">
      <c r="B3" s="35" t="s">
        <v>51</v>
      </c>
      <c r="C3" s="35"/>
      <c r="D3" s="35"/>
      <c r="E3" s="35"/>
      <c r="F3" s="35"/>
      <c r="G3" s="35"/>
      <c r="H3" s="35"/>
      <c r="K3" s="65"/>
    </row>
    <row r="4" spans="2:11" s="6" customFormat="1" ht="15.75">
      <c r="B4" s="35" t="s">
        <v>30</v>
      </c>
      <c r="C4" s="35"/>
      <c r="D4" s="35"/>
      <c r="E4" s="35"/>
      <c r="F4" s="35"/>
      <c r="G4" s="35"/>
      <c r="H4" s="35"/>
    </row>
    <row r="5" spans="2:11" s="7" customFormat="1" ht="15.75">
      <c r="B5" s="35" t="s">
        <v>22</v>
      </c>
      <c r="C5" s="35"/>
      <c r="D5" s="35"/>
      <c r="E5" s="35"/>
      <c r="F5" s="35"/>
      <c r="G5" s="35"/>
      <c r="H5" s="35"/>
    </row>
    <row r="6" spans="2:11" s="7" customFormat="1" ht="15">
      <c r="B6" s="34"/>
      <c r="C6" s="34"/>
      <c r="D6" s="34"/>
      <c r="E6" s="34"/>
      <c r="F6" s="34"/>
      <c r="G6" s="34"/>
      <c r="H6" s="34"/>
    </row>
    <row r="7" spans="2:11">
      <c r="B7" s="20"/>
      <c r="C7" s="20"/>
      <c r="D7" s="20"/>
      <c r="E7" s="20"/>
      <c r="F7" s="20"/>
      <c r="G7" s="20"/>
      <c r="H7" s="20"/>
    </row>
    <row r="8" spans="2:11" ht="13.5" thickBot="1">
      <c r="B8" s="20"/>
      <c r="C8" s="20"/>
      <c r="D8" s="20"/>
      <c r="E8" s="20"/>
      <c r="F8" s="20"/>
      <c r="G8" s="20"/>
      <c r="H8" s="21" t="s">
        <v>0</v>
      </c>
    </row>
    <row r="9" spans="2:11">
      <c r="B9" s="36"/>
      <c r="C9" s="37"/>
      <c r="D9" s="37"/>
      <c r="E9" s="38"/>
      <c r="F9" s="39" t="s">
        <v>154</v>
      </c>
      <c r="G9" s="40"/>
      <c r="H9" s="41" t="s">
        <v>4</v>
      </c>
    </row>
    <row r="10" spans="2:11" ht="13.5" thickBot="1">
      <c r="B10" s="27"/>
      <c r="C10" s="28"/>
      <c r="D10" s="28"/>
      <c r="E10" s="42"/>
      <c r="F10" s="43" t="s">
        <v>1</v>
      </c>
      <c r="G10" s="44" t="s">
        <v>2</v>
      </c>
      <c r="H10" s="45" t="s">
        <v>155</v>
      </c>
    </row>
    <row r="11" spans="2:11" ht="18.75" customHeight="1">
      <c r="B11" s="24" t="s">
        <v>218</v>
      </c>
      <c r="C11" s="19"/>
      <c r="D11" s="19"/>
      <c r="E11" s="46"/>
      <c r="F11" s="244">
        <f>53324912.98-163041-116966.51-814018.81</f>
        <v>52230886.659999996</v>
      </c>
      <c r="G11" s="245">
        <f>54917814.14-171300.53-989484.64-128912.89</f>
        <v>53628116.079999998</v>
      </c>
      <c r="H11" s="26">
        <f>55608988.02-1047797.38-178044.68-252903.47-H48</f>
        <v>54130242.490000002</v>
      </c>
    </row>
    <row r="12" spans="2:11">
      <c r="B12" s="24" t="s">
        <v>7</v>
      </c>
      <c r="C12" s="19" t="s">
        <v>18</v>
      </c>
      <c r="D12" s="19"/>
      <c r="E12" s="46"/>
      <c r="F12" s="244"/>
      <c r="G12" s="245">
        <f>2278.07+5756.31</f>
        <v>8034.380000000001</v>
      </c>
      <c r="H12" s="26">
        <f>2278.07+5347.02</f>
        <v>7625.09</v>
      </c>
      <c r="I12" s="198"/>
    </row>
    <row r="13" spans="2:11">
      <c r="B13" s="24"/>
      <c r="C13" s="19"/>
      <c r="D13" s="19"/>
      <c r="E13" s="46"/>
      <c r="F13" s="244"/>
      <c r="G13" s="245"/>
      <c r="H13" s="26"/>
    </row>
    <row r="14" spans="2:11">
      <c r="B14" s="24" t="s">
        <v>11</v>
      </c>
      <c r="C14" s="19"/>
      <c r="D14" s="19"/>
      <c r="E14" s="46"/>
      <c r="F14" s="244">
        <v>1677968.68</v>
      </c>
      <c r="G14" s="245">
        <v>5461174.54</v>
      </c>
      <c r="H14" s="26">
        <v>7153959.9400000004</v>
      </c>
    </row>
    <row r="15" spans="2:11">
      <c r="B15" s="24" t="s">
        <v>7</v>
      </c>
      <c r="C15" s="19" t="s">
        <v>18</v>
      </c>
      <c r="D15" s="19"/>
      <c r="E15" s="46"/>
      <c r="F15" s="244"/>
      <c r="G15" s="245"/>
      <c r="H15" s="26"/>
    </row>
    <row r="16" spans="2:11">
      <c r="B16" s="24"/>
      <c r="C16" s="19"/>
      <c r="D16" s="19"/>
      <c r="E16" s="46"/>
      <c r="F16" s="244"/>
      <c r="G16" s="245"/>
      <c r="H16" s="26"/>
    </row>
    <row r="17" spans="2:12">
      <c r="B17" s="24" t="s">
        <v>12</v>
      </c>
      <c r="C17" s="19"/>
      <c r="D17" s="19"/>
      <c r="E17" s="46"/>
      <c r="F17" s="244">
        <v>814018.81</v>
      </c>
      <c r="G17" s="245">
        <v>989484.64</v>
      </c>
      <c r="H17" s="26">
        <v>1047797.38</v>
      </c>
      <c r="L17" s="198"/>
    </row>
    <row r="18" spans="2:12">
      <c r="B18" s="24" t="s">
        <v>7</v>
      </c>
      <c r="C18" s="19" t="s">
        <v>18</v>
      </c>
      <c r="D18" s="19"/>
      <c r="E18" s="46"/>
      <c r="F18" s="244"/>
      <c r="G18" s="245"/>
      <c r="H18" s="26"/>
    </row>
    <row r="19" spans="2:12">
      <c r="B19" s="24"/>
      <c r="C19" s="19"/>
      <c r="D19" s="19"/>
      <c r="E19" s="46"/>
      <c r="F19" s="244"/>
      <c r="G19" s="245"/>
      <c r="H19" s="26"/>
    </row>
    <row r="20" spans="2:12">
      <c r="B20" s="24" t="s">
        <v>13</v>
      </c>
      <c r="C20" s="19"/>
      <c r="D20" s="19"/>
      <c r="E20" s="46"/>
      <c r="F20" s="244">
        <v>4100</v>
      </c>
      <c r="G20" s="245">
        <v>19700</v>
      </c>
      <c r="H20" s="26">
        <v>12561.66</v>
      </c>
    </row>
    <row r="21" spans="2:12">
      <c r="B21" s="24" t="s">
        <v>7</v>
      </c>
      <c r="C21" s="19" t="s">
        <v>18</v>
      </c>
      <c r="D21" s="19"/>
      <c r="E21" s="46"/>
      <c r="F21" s="244"/>
      <c r="G21" s="245"/>
      <c r="H21" s="26"/>
    </row>
    <row r="22" spans="2:12">
      <c r="B22" s="24"/>
      <c r="C22" s="19"/>
      <c r="D22" s="19"/>
      <c r="E22" s="46"/>
      <c r="F22" s="244"/>
      <c r="G22" s="245"/>
      <c r="H22" s="26"/>
    </row>
    <row r="23" spans="2:12">
      <c r="B23" s="24" t="s">
        <v>219</v>
      </c>
      <c r="C23" s="19"/>
      <c r="D23" s="19"/>
      <c r="E23" s="46"/>
      <c r="F23" s="244">
        <f>69309.16+47657.35</f>
        <v>116966.51000000001</v>
      </c>
      <c r="G23" s="245">
        <v>128912.89</v>
      </c>
      <c r="H23" s="26">
        <v>178044.68</v>
      </c>
    </row>
    <row r="24" spans="2:12">
      <c r="B24" s="24" t="s">
        <v>7</v>
      </c>
      <c r="C24" s="19" t="s">
        <v>18</v>
      </c>
      <c r="D24" s="19"/>
      <c r="E24" s="46"/>
      <c r="F24" s="244"/>
      <c r="G24" s="360">
        <v>943.62</v>
      </c>
      <c r="H24" s="361">
        <v>920.62</v>
      </c>
      <c r="I24" s="362"/>
      <c r="L24" s="359"/>
    </row>
    <row r="25" spans="2:12">
      <c r="B25" s="24"/>
      <c r="C25" s="19" t="s">
        <v>19</v>
      </c>
      <c r="D25" s="19"/>
      <c r="E25" s="46"/>
      <c r="F25" s="244">
        <f>69309.16+47657.35</f>
        <v>116966.51000000001</v>
      </c>
      <c r="G25" s="245">
        <v>127969.27</v>
      </c>
      <c r="H25" s="26">
        <v>177124.06</v>
      </c>
      <c r="J25" s="359"/>
    </row>
    <row r="26" spans="2:12">
      <c r="B26" s="24"/>
      <c r="C26" s="19" t="s">
        <v>31</v>
      </c>
      <c r="D26" s="19"/>
      <c r="E26" s="46"/>
      <c r="F26" s="244"/>
      <c r="G26" s="245"/>
      <c r="H26" s="26"/>
    </row>
    <row r="27" spans="2:12">
      <c r="B27" s="24"/>
      <c r="C27" s="19"/>
      <c r="D27" s="19"/>
      <c r="E27" s="46"/>
      <c r="F27" s="244"/>
      <c r="G27" s="245"/>
      <c r="H27" s="26"/>
    </row>
    <row r="28" spans="2:12">
      <c r="B28" s="24" t="s">
        <v>32</v>
      </c>
      <c r="C28" s="19"/>
      <c r="D28" s="19"/>
      <c r="E28" s="46"/>
      <c r="F28" s="244">
        <v>65000</v>
      </c>
      <c r="G28" s="245">
        <v>47834</v>
      </c>
      <c r="H28" s="26">
        <v>111987.54</v>
      </c>
    </row>
    <row r="29" spans="2:12">
      <c r="B29" s="24" t="s">
        <v>7</v>
      </c>
      <c r="C29" s="19" t="s">
        <v>18</v>
      </c>
      <c r="D29" s="19"/>
      <c r="E29" s="46"/>
      <c r="F29" s="244"/>
      <c r="G29" s="245"/>
      <c r="H29" s="26"/>
    </row>
    <row r="30" spans="2:12">
      <c r="B30" s="24"/>
      <c r="C30" s="19" t="s">
        <v>19</v>
      </c>
      <c r="D30" s="19"/>
      <c r="E30" s="46"/>
      <c r="F30" s="244">
        <v>65000</v>
      </c>
      <c r="G30" s="245">
        <v>47834</v>
      </c>
      <c r="H30" s="26">
        <v>111987.54</v>
      </c>
    </row>
    <row r="31" spans="2:12">
      <c r="B31" s="24"/>
      <c r="C31" s="19" t="s">
        <v>31</v>
      </c>
      <c r="D31" s="19"/>
      <c r="E31" s="46"/>
      <c r="F31" s="244"/>
      <c r="G31" s="245"/>
      <c r="H31" s="26"/>
    </row>
    <row r="32" spans="2:12">
      <c r="B32" s="24"/>
      <c r="C32" s="19"/>
      <c r="D32" s="19"/>
      <c r="E32" s="46"/>
      <c r="F32" s="244"/>
      <c r="G32" s="245"/>
      <c r="H32" s="26"/>
    </row>
    <row r="33" spans="2:11">
      <c r="B33" s="24" t="s">
        <v>33</v>
      </c>
      <c r="C33" s="19"/>
      <c r="D33" s="19"/>
      <c r="E33" s="46"/>
      <c r="F33" s="244"/>
      <c r="G33" s="245"/>
      <c r="H33" s="26"/>
    </row>
    <row r="34" spans="2:11">
      <c r="B34" s="24" t="s">
        <v>14</v>
      </c>
      <c r="C34" s="19"/>
      <c r="D34" s="19"/>
      <c r="E34" s="46"/>
      <c r="F34" s="244">
        <v>163041</v>
      </c>
      <c r="G34" s="245">
        <v>171300.53</v>
      </c>
      <c r="H34" s="26">
        <v>252903.47</v>
      </c>
    </row>
    <row r="35" spans="2:11">
      <c r="B35" s="24" t="s">
        <v>7</v>
      </c>
      <c r="C35" s="19" t="s">
        <v>18</v>
      </c>
      <c r="D35" s="19"/>
      <c r="E35" s="46"/>
      <c r="F35" s="244"/>
      <c r="G35" s="245"/>
      <c r="H35" s="26"/>
      <c r="K35" s="359"/>
    </row>
    <row r="36" spans="2:11">
      <c r="B36" s="24"/>
      <c r="C36" s="19" t="s">
        <v>19</v>
      </c>
      <c r="D36" s="19"/>
      <c r="E36" s="46"/>
      <c r="F36" s="244">
        <v>163041</v>
      </c>
      <c r="G36" s="245">
        <v>171300.53</v>
      </c>
      <c r="H36" s="26">
        <v>252903.47</v>
      </c>
    </row>
    <row r="37" spans="2:11">
      <c r="B37" s="24"/>
      <c r="C37" s="19" t="s">
        <v>31</v>
      </c>
      <c r="D37" s="19"/>
      <c r="E37" s="46"/>
      <c r="F37" s="244"/>
      <c r="G37" s="245"/>
      <c r="H37" s="26"/>
    </row>
    <row r="38" spans="2:11">
      <c r="B38" s="24"/>
      <c r="C38" s="19"/>
      <c r="D38" s="19"/>
      <c r="E38" s="46"/>
      <c r="F38" s="244"/>
      <c r="G38" s="245"/>
      <c r="H38" s="26"/>
    </row>
    <row r="39" spans="2:11">
      <c r="B39" s="24" t="s">
        <v>34</v>
      </c>
      <c r="C39" s="19"/>
      <c r="D39" s="19"/>
      <c r="E39" s="46"/>
      <c r="F39" s="244"/>
      <c r="G39" s="245"/>
      <c r="H39" s="26"/>
    </row>
    <row r="40" spans="2:11">
      <c r="B40" s="24" t="s">
        <v>15</v>
      </c>
      <c r="C40" s="19"/>
      <c r="D40" s="19"/>
      <c r="E40" s="46"/>
      <c r="F40" s="244"/>
      <c r="G40" s="245"/>
      <c r="H40" s="26"/>
    </row>
    <row r="41" spans="2:11">
      <c r="B41" s="24" t="s">
        <v>7</v>
      </c>
      <c r="C41" s="19" t="s">
        <v>18</v>
      </c>
      <c r="D41" s="19"/>
      <c r="E41" s="46"/>
      <c r="F41" s="244"/>
      <c r="G41" s="245"/>
      <c r="H41" s="26"/>
    </row>
    <row r="42" spans="2:11">
      <c r="B42" s="24"/>
      <c r="C42" s="19" t="s">
        <v>19</v>
      </c>
      <c r="D42" s="19"/>
      <c r="E42" s="46"/>
      <c r="F42" s="244"/>
      <c r="G42" s="245"/>
      <c r="H42" s="26"/>
    </row>
    <row r="43" spans="2:11">
      <c r="B43" s="24"/>
      <c r="C43" s="19" t="s">
        <v>31</v>
      </c>
      <c r="D43" s="19"/>
      <c r="E43" s="46"/>
      <c r="F43" s="244"/>
      <c r="G43" s="245"/>
      <c r="H43" s="26"/>
    </row>
    <row r="44" spans="2:11">
      <c r="B44" s="24"/>
      <c r="C44" s="19"/>
      <c r="D44" s="19"/>
      <c r="E44" s="46"/>
      <c r="F44" s="244"/>
      <c r="G44" s="245"/>
      <c r="H44" s="26"/>
    </row>
    <row r="45" spans="2:11">
      <c r="B45" s="24" t="s">
        <v>45</v>
      </c>
      <c r="C45" s="19"/>
      <c r="D45" s="19"/>
      <c r="E45" s="46"/>
      <c r="F45" s="244"/>
      <c r="G45" s="245"/>
      <c r="H45" s="361">
        <v>6281.18</v>
      </c>
    </row>
    <row r="46" spans="2:11">
      <c r="B46" s="24" t="s">
        <v>7</v>
      </c>
      <c r="C46" s="19" t="s">
        <v>18</v>
      </c>
      <c r="D46" s="19"/>
      <c r="E46" s="46"/>
      <c r="F46" s="244"/>
      <c r="G46" s="245"/>
      <c r="H46" s="26"/>
    </row>
    <row r="47" spans="2:11">
      <c r="B47" s="24"/>
      <c r="C47" s="19"/>
      <c r="D47" s="19"/>
      <c r="E47" s="46"/>
      <c r="F47" s="244"/>
      <c r="G47" s="245"/>
      <c r="H47" s="26"/>
    </row>
    <row r="48" spans="2:11">
      <c r="B48" s="24" t="s">
        <v>46</v>
      </c>
      <c r="C48" s="19"/>
      <c r="D48" s="19"/>
      <c r="E48" s="46"/>
      <c r="F48" s="244"/>
      <c r="G48" s="245"/>
      <c r="H48" s="361"/>
    </row>
    <row r="49" spans="2:11">
      <c r="B49" s="24" t="s">
        <v>7</v>
      </c>
      <c r="C49" s="19" t="s">
        <v>18</v>
      </c>
      <c r="D49" s="19"/>
      <c r="E49" s="46"/>
      <c r="F49" s="244"/>
      <c r="G49" s="245"/>
      <c r="H49" s="26"/>
    </row>
    <row r="50" spans="2:11">
      <c r="B50" s="24"/>
      <c r="C50" s="19"/>
      <c r="D50" s="19"/>
      <c r="E50" s="46"/>
      <c r="F50" s="244"/>
      <c r="G50" s="245"/>
      <c r="H50" s="26"/>
    </row>
    <row r="51" spans="2:11">
      <c r="B51" s="1461" t="s">
        <v>48</v>
      </c>
      <c r="C51" s="1462"/>
      <c r="D51" s="1462"/>
      <c r="E51" s="1463"/>
      <c r="F51" s="244"/>
      <c r="G51" s="245"/>
      <c r="H51" s="26"/>
    </row>
    <row r="52" spans="2:11">
      <c r="B52" s="47" t="s">
        <v>17</v>
      </c>
      <c r="C52" s="48"/>
      <c r="D52" s="48"/>
      <c r="E52" s="49"/>
      <c r="F52" s="244"/>
      <c r="G52" s="245"/>
      <c r="H52" s="26"/>
    </row>
    <row r="53" spans="2:11">
      <c r="B53" s="24" t="s">
        <v>7</v>
      </c>
      <c r="C53" s="19" t="s">
        <v>23</v>
      </c>
      <c r="D53" s="19"/>
      <c r="E53" s="46"/>
      <c r="F53" s="244"/>
      <c r="G53" s="245"/>
      <c r="H53" s="26"/>
    </row>
    <row r="54" spans="2:11">
      <c r="B54" s="24"/>
      <c r="C54" s="19" t="s">
        <v>24</v>
      </c>
      <c r="D54" s="19"/>
      <c r="E54" s="46"/>
      <c r="F54" s="244"/>
      <c r="G54" s="245"/>
      <c r="H54" s="26"/>
    </row>
    <row r="55" spans="2:11">
      <c r="B55" s="24"/>
      <c r="C55" s="19"/>
      <c r="D55" s="19"/>
      <c r="E55" s="46"/>
      <c r="F55" s="244"/>
      <c r="G55" s="245"/>
      <c r="H55" s="26"/>
    </row>
    <row r="56" spans="2:11">
      <c r="B56" s="24" t="s">
        <v>8</v>
      </c>
      <c r="C56" s="19"/>
      <c r="D56" s="19"/>
      <c r="E56" s="46"/>
      <c r="F56" s="244">
        <v>53324912.979999997</v>
      </c>
      <c r="G56" s="245">
        <v>54917814.140000001</v>
      </c>
      <c r="H56" s="26">
        <v>55608988.020000003</v>
      </c>
      <c r="K56" s="359"/>
    </row>
    <row r="57" spans="2:11">
      <c r="B57" s="24" t="s">
        <v>7</v>
      </c>
      <c r="C57" s="19" t="s">
        <v>18</v>
      </c>
      <c r="D57" s="19"/>
      <c r="E57" s="46"/>
      <c r="F57" s="244"/>
      <c r="G57" s="245">
        <f>G12+G24</f>
        <v>8978.0000000000018</v>
      </c>
      <c r="H57" s="26">
        <f>H24+H12</f>
        <v>8545.7100000000009</v>
      </c>
    </row>
    <row r="58" spans="2:11">
      <c r="B58" s="24"/>
      <c r="C58" s="19"/>
      <c r="D58" s="19"/>
      <c r="E58" s="46"/>
      <c r="F58" s="244"/>
      <c r="G58" s="245"/>
      <c r="H58" s="26"/>
    </row>
    <row r="59" spans="2:11">
      <c r="B59" s="24" t="s">
        <v>9</v>
      </c>
      <c r="C59" s="19"/>
      <c r="D59" s="19"/>
      <c r="E59" s="46"/>
      <c r="F59" s="244">
        <v>1747068.68</v>
      </c>
      <c r="G59" s="245">
        <v>5528708.54</v>
      </c>
      <c r="H59" s="26">
        <v>7278509.1399999997</v>
      </c>
    </row>
    <row r="60" spans="2:11">
      <c r="B60" s="24" t="s">
        <v>7</v>
      </c>
      <c r="C60" s="19" t="s">
        <v>18</v>
      </c>
      <c r="D60" s="19"/>
      <c r="E60" s="46"/>
      <c r="F60" s="244"/>
      <c r="G60" s="245"/>
      <c r="H60" s="26"/>
    </row>
    <row r="61" spans="2:11" ht="13.5" thickBot="1">
      <c r="B61" s="27"/>
      <c r="C61" s="28"/>
      <c r="D61" s="28"/>
      <c r="E61" s="42"/>
      <c r="F61" s="246"/>
      <c r="G61" s="247"/>
      <c r="H61" s="248"/>
    </row>
    <row r="62" spans="2:11">
      <c r="B62" s="19"/>
      <c r="C62" s="19"/>
      <c r="D62" s="19"/>
      <c r="E62" s="19"/>
      <c r="F62" s="19"/>
      <c r="G62" s="19"/>
      <c r="H62" s="19"/>
    </row>
    <row r="63" spans="2:11">
      <c r="B63" s="18" t="s">
        <v>216</v>
      </c>
      <c r="C63" s="19"/>
      <c r="D63" s="19"/>
      <c r="E63" s="19"/>
      <c r="F63" s="19"/>
      <c r="G63" s="19"/>
      <c r="H63" s="19"/>
    </row>
    <row r="64" spans="2:11">
      <c r="B64" s="19"/>
      <c r="C64" s="19"/>
      <c r="D64" s="19"/>
      <c r="E64" s="19"/>
      <c r="F64" s="19"/>
      <c r="G64" s="19"/>
      <c r="H64" s="19"/>
    </row>
    <row r="65" spans="2:8" ht="18" customHeight="1">
      <c r="B65" s="50" t="s">
        <v>213</v>
      </c>
      <c r="C65" s="51"/>
      <c r="D65" s="51" t="s">
        <v>214</v>
      </c>
      <c r="E65" s="16"/>
      <c r="F65" s="19"/>
      <c r="G65" s="51" t="s">
        <v>215</v>
      </c>
      <c r="H65" s="19"/>
    </row>
    <row r="66" spans="2:8" s="9" customFormat="1">
      <c r="B66" s="51"/>
      <c r="C66" s="51"/>
      <c r="D66" s="51"/>
      <c r="E66" s="16"/>
      <c r="F66" s="16"/>
      <c r="G66" s="16"/>
    </row>
    <row r="67" spans="2:8" s="9" customFormat="1">
      <c r="B67" s="18"/>
      <c r="C67" s="16"/>
      <c r="D67" s="16"/>
      <c r="E67" s="16"/>
      <c r="F67" s="52"/>
      <c r="G67" s="52"/>
      <c r="H67" s="51"/>
    </row>
    <row r="68" spans="2:8" s="9" customFormat="1">
      <c r="B68" s="10"/>
    </row>
    <row r="69" spans="2:8" s="9" customFormat="1">
      <c r="B69" s="8"/>
      <c r="C69" s="5"/>
      <c r="D69" s="5"/>
      <c r="E69" s="5"/>
      <c r="F69" s="5"/>
    </row>
    <row r="70" spans="2:8">
      <c r="B70" s="8"/>
    </row>
    <row r="71" spans="2:8">
      <c r="B71" s="8"/>
    </row>
    <row r="72" spans="2:8">
      <c r="B72" s="8"/>
    </row>
    <row r="73" spans="2:8">
      <c r="B73" s="8"/>
    </row>
  </sheetData>
  <mergeCells count="2">
    <mergeCell ref="B51:E51"/>
    <mergeCell ref="G1:H1"/>
  </mergeCells>
  <phoneticPr fontId="0" type="noConversion"/>
  <printOptions horizontalCentered="1"/>
  <pageMargins left="0.98425196850393704" right="0.98425196850393704" top="0.98425196850393704" bottom="0.98425196850393704" header="0.74803149606299213" footer="0.31496062992125984"/>
  <pageSetup paperSize="9" scale="67" orientation="portrait" r:id="rId1"/>
  <headerFooter alignWithMargins="0">
    <oddFooter xml:space="preserve">&amp;C&amp;11&amp;P+16&amp;10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theme="9" tint="0.59999389629810485"/>
    <pageSetUpPr fitToPage="1"/>
  </sheetPr>
  <dimension ref="B1:L54"/>
  <sheetViews>
    <sheetView showGridLines="0" topLeftCell="A25" zoomScaleNormal="100" workbookViewId="0">
      <selection activeCell="D50" sqref="D50"/>
    </sheetView>
  </sheetViews>
  <sheetFormatPr defaultRowHeight="12.75"/>
  <cols>
    <col min="1" max="1" width="2" style="11" customWidth="1"/>
    <col min="2" max="2" width="7.140625" style="11" customWidth="1"/>
    <col min="3" max="3" width="16.7109375" style="11" customWidth="1"/>
    <col min="4" max="4" width="25.7109375" style="11" customWidth="1"/>
    <col min="5" max="5" width="9.5703125" style="11" customWidth="1"/>
    <col min="6" max="6" width="14.7109375" style="11" customWidth="1"/>
    <col min="7" max="7" width="1.42578125" style="11" customWidth="1"/>
    <col min="8" max="8" width="14.7109375" style="11" customWidth="1"/>
    <col min="9" max="9" width="1.28515625" style="11" customWidth="1"/>
    <col min="10" max="10" width="14.7109375" style="11" customWidth="1"/>
    <col min="11" max="11" width="2.28515625" style="11" customWidth="1"/>
    <col min="12" max="12" width="10" style="11" customWidth="1"/>
    <col min="13" max="16384" width="9.140625" style="11"/>
  </cols>
  <sheetData>
    <row r="1" spans="2:12" s="12" customFormat="1">
      <c r="B1" s="11"/>
      <c r="C1" s="11"/>
      <c r="D1" s="11"/>
      <c r="E1" s="11"/>
      <c r="F1" s="11"/>
      <c r="G1" s="11"/>
      <c r="H1" s="11"/>
      <c r="I1" s="11"/>
    </row>
    <row r="2" spans="2:12" s="12" customFormat="1" ht="14.25">
      <c r="B2" s="54" t="s">
        <v>157</v>
      </c>
      <c r="C2" s="2"/>
      <c r="D2" s="2"/>
      <c r="E2" s="2"/>
      <c r="F2" s="2"/>
      <c r="G2" s="2"/>
      <c r="H2" s="2"/>
      <c r="I2" s="2"/>
      <c r="J2" s="63" t="s">
        <v>10</v>
      </c>
      <c r="K2" s="2"/>
      <c r="L2" s="2"/>
    </row>
    <row r="3" spans="2:12" s="5" customFormat="1">
      <c r="B3" s="2"/>
      <c r="C3" s="2"/>
      <c r="D3" s="2"/>
      <c r="E3" s="2"/>
      <c r="F3" s="2"/>
      <c r="G3" s="2"/>
      <c r="H3" s="2"/>
      <c r="I3" s="2"/>
      <c r="J3" s="1"/>
      <c r="K3" s="2"/>
      <c r="L3" s="2"/>
    </row>
    <row r="4" spans="2:12" s="5" customFormat="1">
      <c r="B4" s="2"/>
      <c r="C4" s="2"/>
      <c r="D4" s="2"/>
      <c r="E4" s="2"/>
      <c r="F4" s="2"/>
      <c r="G4" s="2"/>
      <c r="H4" s="2"/>
      <c r="I4" s="2"/>
      <c r="J4" s="1"/>
      <c r="K4" s="2"/>
      <c r="L4" s="2"/>
    </row>
    <row r="5" spans="2:12" s="6" customFormat="1" ht="24.75" customHeight="1">
      <c r="B5" s="35" t="s">
        <v>49</v>
      </c>
      <c r="C5" s="34"/>
      <c r="D5" s="34"/>
      <c r="E5" s="34"/>
      <c r="F5" s="34"/>
      <c r="G5" s="34"/>
      <c r="H5" s="34"/>
      <c r="I5" s="34"/>
      <c r="J5" s="34"/>
      <c r="K5" s="53"/>
      <c r="L5" s="54"/>
    </row>
    <row r="6" spans="2:12" s="13" customFormat="1" ht="15.75">
      <c r="B6" s="55"/>
      <c r="C6" s="1465" t="s">
        <v>35</v>
      </c>
      <c r="D6" s="1465"/>
      <c r="E6" s="1465"/>
      <c r="F6" s="1465"/>
      <c r="G6" s="1465"/>
      <c r="H6" s="1465"/>
      <c r="I6" s="1465"/>
      <c r="J6" s="1465"/>
      <c r="K6" s="20"/>
      <c r="L6" s="33"/>
    </row>
    <row r="7" spans="2:12" s="14" customFormat="1">
      <c r="B7" s="55"/>
      <c r="C7" s="20"/>
      <c r="D7" s="20"/>
      <c r="E7" s="20"/>
      <c r="F7" s="20"/>
      <c r="G7" s="20"/>
      <c r="H7" s="20"/>
      <c r="I7" s="20"/>
      <c r="J7" s="20"/>
      <c r="K7" s="20"/>
      <c r="L7" s="33"/>
    </row>
    <row r="8" spans="2:12" s="5" customFormat="1" ht="13.5" thickBot="1">
      <c r="B8" s="20"/>
      <c r="C8" s="20"/>
      <c r="D8" s="20"/>
      <c r="E8" s="20"/>
      <c r="F8" s="20"/>
      <c r="G8" s="20"/>
      <c r="H8" s="20"/>
      <c r="I8" s="20"/>
      <c r="J8" s="21" t="s">
        <v>0</v>
      </c>
      <c r="K8" s="56"/>
      <c r="L8" s="2"/>
    </row>
    <row r="9" spans="2:12">
      <c r="B9" s="57"/>
      <c r="C9" s="37"/>
      <c r="D9" s="37"/>
      <c r="E9" s="38"/>
      <c r="F9" s="58" t="s">
        <v>154</v>
      </c>
      <c r="G9" s="58"/>
      <c r="H9" s="58"/>
      <c r="I9" s="59"/>
      <c r="J9" s="60" t="s">
        <v>4</v>
      </c>
      <c r="K9" s="41"/>
      <c r="L9" s="2"/>
    </row>
    <row r="10" spans="2:12" ht="13.5" thickBot="1">
      <c r="B10" s="27"/>
      <c r="C10" s="28"/>
      <c r="D10" s="28"/>
      <c r="E10" s="42"/>
      <c r="F10" s="61" t="s">
        <v>1</v>
      </c>
      <c r="G10" s="62"/>
      <c r="H10" s="61" t="s">
        <v>2</v>
      </c>
      <c r="I10" s="62"/>
      <c r="J10" s="61" t="s">
        <v>156</v>
      </c>
      <c r="K10" s="45"/>
      <c r="L10" s="2"/>
    </row>
    <row r="11" spans="2:12" ht="15.95" customHeight="1">
      <c r="B11" s="24"/>
      <c r="C11" s="19"/>
      <c r="D11" s="19"/>
      <c r="E11" s="46"/>
      <c r="F11" s="249"/>
      <c r="G11" s="25"/>
      <c r="H11" s="249"/>
      <c r="I11" s="25"/>
      <c r="J11" s="249"/>
      <c r="K11" s="46"/>
      <c r="L11" s="2"/>
    </row>
    <row r="12" spans="2:12" ht="15.95" customHeight="1">
      <c r="B12" s="24" t="s">
        <v>36</v>
      </c>
      <c r="C12" s="19"/>
      <c r="D12" s="19"/>
      <c r="E12" s="46"/>
      <c r="F12" s="249">
        <v>69303.16</v>
      </c>
      <c r="G12" s="25"/>
      <c r="H12" s="249">
        <v>70428.460000000006</v>
      </c>
      <c r="I12" s="25"/>
      <c r="J12" s="249">
        <v>71410.02</v>
      </c>
      <c r="K12" s="46" t="s">
        <v>217</v>
      </c>
      <c r="L12" s="2"/>
    </row>
    <row r="13" spans="2:12" ht="15.95" customHeight="1">
      <c r="B13" s="24" t="s">
        <v>7</v>
      </c>
      <c r="C13" s="19" t="s">
        <v>18</v>
      </c>
      <c r="D13" s="19"/>
      <c r="E13" s="46"/>
      <c r="F13" s="249"/>
      <c r="G13" s="25"/>
      <c r="H13" s="249">
        <v>888.62</v>
      </c>
      <c r="I13" s="25"/>
      <c r="J13" s="249">
        <v>865.62</v>
      </c>
      <c r="K13" s="46"/>
      <c r="L13" s="2"/>
    </row>
    <row r="14" spans="2:12" ht="15.95" customHeight="1">
      <c r="B14" s="24"/>
      <c r="C14" s="19"/>
      <c r="D14" s="19"/>
      <c r="E14" s="46"/>
      <c r="F14" s="249"/>
      <c r="G14" s="25"/>
      <c r="H14" s="249"/>
      <c r="I14" s="25"/>
      <c r="J14" s="249"/>
      <c r="K14" s="46"/>
      <c r="L14" s="2"/>
    </row>
    <row r="15" spans="2:12" ht="15.95" customHeight="1">
      <c r="B15" s="24" t="s">
        <v>37</v>
      </c>
      <c r="C15" s="19"/>
      <c r="D15" s="19"/>
      <c r="E15" s="46"/>
      <c r="F15" s="249">
        <v>45000</v>
      </c>
      <c r="G15" s="25"/>
      <c r="H15" s="249">
        <v>30000</v>
      </c>
      <c r="I15" s="25"/>
      <c r="J15" s="249">
        <v>30000</v>
      </c>
      <c r="K15" s="46"/>
      <c r="L15" s="2"/>
    </row>
    <row r="16" spans="2:12" ht="15.95" customHeight="1">
      <c r="B16" s="24" t="s">
        <v>7</v>
      </c>
      <c r="C16" s="19" t="s">
        <v>18</v>
      </c>
      <c r="D16" s="19"/>
      <c r="E16" s="46"/>
      <c r="F16" s="249"/>
      <c r="G16" s="25"/>
      <c r="H16" s="249"/>
      <c r="I16" s="25"/>
      <c r="J16" s="249"/>
      <c r="K16" s="46"/>
      <c r="L16" s="2"/>
    </row>
    <row r="17" spans="2:12" ht="15.95" customHeight="1">
      <c r="B17" s="24"/>
      <c r="C17" s="19"/>
      <c r="D17" s="19"/>
      <c r="E17" s="46"/>
      <c r="F17" s="249"/>
      <c r="G17" s="25"/>
      <c r="H17" s="249"/>
      <c r="I17" s="25"/>
      <c r="J17" s="249"/>
      <c r="K17" s="46"/>
      <c r="L17" s="2"/>
    </row>
    <row r="18" spans="2:12" ht="15.95" customHeight="1">
      <c r="B18" s="24" t="s">
        <v>38</v>
      </c>
      <c r="C18" s="19"/>
      <c r="D18" s="19"/>
      <c r="E18" s="46"/>
      <c r="F18" s="249"/>
      <c r="G18" s="25"/>
      <c r="H18" s="249"/>
      <c r="I18" s="25"/>
      <c r="J18" s="249"/>
      <c r="K18" s="46"/>
      <c r="L18" s="2"/>
    </row>
    <row r="19" spans="2:12" ht="15.95" customHeight="1">
      <c r="B19" s="24" t="s">
        <v>20</v>
      </c>
      <c r="C19" s="19"/>
      <c r="D19" s="19"/>
      <c r="E19" s="46"/>
      <c r="F19" s="249"/>
      <c r="G19" s="25"/>
      <c r="H19" s="249"/>
      <c r="I19" s="25"/>
      <c r="J19" s="249"/>
      <c r="K19" s="46"/>
      <c r="L19" s="2"/>
    </row>
    <row r="20" spans="2:12" ht="15.95" customHeight="1">
      <c r="B20" s="24" t="s">
        <v>7</v>
      </c>
      <c r="C20" s="19" t="s">
        <v>18</v>
      </c>
      <c r="D20" s="19"/>
      <c r="E20" s="46"/>
      <c r="F20" s="249"/>
      <c r="G20" s="25"/>
      <c r="H20" s="249"/>
      <c r="I20" s="25"/>
      <c r="J20" s="249"/>
      <c r="K20" s="46"/>
      <c r="L20" s="2"/>
    </row>
    <row r="21" spans="2:12" ht="15.95" customHeight="1">
      <c r="B21" s="24"/>
      <c r="C21" s="19"/>
      <c r="D21" s="19"/>
      <c r="E21" s="46"/>
      <c r="F21" s="249"/>
      <c r="G21" s="25"/>
      <c r="H21" s="249"/>
      <c r="I21" s="25"/>
      <c r="J21" s="249"/>
      <c r="K21" s="46"/>
      <c r="L21" s="2"/>
    </row>
    <row r="22" spans="2:12" ht="15.95" customHeight="1">
      <c r="B22" s="24" t="s">
        <v>39</v>
      </c>
      <c r="C22" s="19"/>
      <c r="D22" s="19"/>
      <c r="E22" s="46"/>
      <c r="F22" s="249"/>
      <c r="G22" s="25"/>
      <c r="H22" s="249"/>
      <c r="I22" s="25"/>
      <c r="J22" s="249"/>
      <c r="K22" s="46"/>
      <c r="L22" s="2"/>
    </row>
    <row r="23" spans="2:12" ht="15.95" customHeight="1">
      <c r="B23" s="24" t="s">
        <v>20</v>
      </c>
      <c r="C23" s="19"/>
      <c r="D23" s="19"/>
      <c r="E23" s="46"/>
      <c r="F23" s="249"/>
      <c r="G23" s="25"/>
      <c r="H23" s="249"/>
      <c r="I23" s="25"/>
      <c r="J23" s="249"/>
      <c r="K23" s="46"/>
      <c r="L23" s="2"/>
    </row>
    <row r="24" spans="2:12" ht="15.95" customHeight="1">
      <c r="B24" s="24" t="s">
        <v>7</v>
      </c>
      <c r="C24" s="19" t="s">
        <v>18</v>
      </c>
      <c r="D24" s="19"/>
      <c r="E24" s="46"/>
      <c r="F24" s="249"/>
      <c r="G24" s="25"/>
      <c r="H24" s="249"/>
      <c r="I24" s="25"/>
      <c r="J24" s="249"/>
      <c r="K24" s="46"/>
      <c r="L24" s="2"/>
    </row>
    <row r="25" spans="2:12" ht="15.95" customHeight="1">
      <c r="B25" s="24"/>
      <c r="C25" s="19"/>
      <c r="D25" s="19"/>
      <c r="E25" s="46"/>
      <c r="F25" s="249"/>
      <c r="G25" s="25"/>
      <c r="H25" s="249"/>
      <c r="I25" s="25"/>
      <c r="J25" s="249"/>
      <c r="K25" s="46"/>
      <c r="L25" s="2"/>
    </row>
    <row r="26" spans="2:12" ht="15.95" customHeight="1">
      <c r="B26" s="24" t="s">
        <v>40</v>
      </c>
      <c r="C26" s="19"/>
      <c r="D26" s="19"/>
      <c r="E26" s="46"/>
      <c r="F26" s="249">
        <v>47657.35</v>
      </c>
      <c r="G26" s="25"/>
      <c r="H26" s="249">
        <v>58484.43</v>
      </c>
      <c r="I26" s="25"/>
      <c r="J26" s="249">
        <v>106634.65</v>
      </c>
      <c r="K26" s="46"/>
      <c r="L26" s="2"/>
    </row>
    <row r="27" spans="2:12" ht="15.95" customHeight="1">
      <c r="B27" s="24" t="s">
        <v>7</v>
      </c>
      <c r="C27" s="19" t="s">
        <v>18</v>
      </c>
      <c r="D27" s="19"/>
      <c r="E27" s="46"/>
      <c r="F27" s="249"/>
      <c r="G27" s="25"/>
      <c r="H27" s="249">
        <v>55</v>
      </c>
      <c r="I27" s="25"/>
      <c r="J27" s="249">
        <v>55</v>
      </c>
      <c r="K27" s="46"/>
      <c r="L27" s="2"/>
    </row>
    <row r="28" spans="2:12" ht="15.95" customHeight="1">
      <c r="B28" s="24"/>
      <c r="C28" s="19"/>
      <c r="D28" s="19"/>
      <c r="E28" s="46"/>
      <c r="F28" s="249"/>
      <c r="G28" s="25"/>
      <c r="H28" s="249"/>
      <c r="I28" s="25"/>
      <c r="J28" s="249"/>
      <c r="K28" s="46"/>
      <c r="L28" s="2"/>
    </row>
    <row r="29" spans="2:12" ht="15.95" customHeight="1">
      <c r="B29" s="24" t="s">
        <v>41</v>
      </c>
      <c r="C29" s="19"/>
      <c r="D29" s="19"/>
      <c r="E29" s="46"/>
      <c r="F29" s="249">
        <v>20000</v>
      </c>
      <c r="G29" s="25"/>
      <c r="H29" s="249">
        <v>17834</v>
      </c>
      <c r="I29" s="25"/>
      <c r="J29" s="249">
        <v>81987.539999999994</v>
      </c>
      <c r="K29" s="46"/>
      <c r="L29" s="250"/>
    </row>
    <row r="30" spans="2:12" ht="15.95" customHeight="1">
      <c r="B30" s="24" t="s">
        <v>7</v>
      </c>
      <c r="C30" s="19" t="s">
        <v>18</v>
      </c>
      <c r="D30" s="19"/>
      <c r="E30" s="46"/>
      <c r="F30" s="249"/>
      <c r="G30" s="25"/>
      <c r="H30" s="249"/>
      <c r="I30" s="25"/>
      <c r="J30" s="249"/>
      <c r="K30" s="46"/>
      <c r="L30" s="2"/>
    </row>
    <row r="31" spans="2:12" ht="15.95" customHeight="1">
      <c r="B31" s="24"/>
      <c r="C31" s="19"/>
      <c r="D31" s="19"/>
      <c r="E31" s="46"/>
      <c r="F31" s="249"/>
      <c r="G31" s="25"/>
      <c r="H31" s="249"/>
      <c r="I31" s="25"/>
      <c r="J31" s="249"/>
      <c r="K31" s="46"/>
      <c r="L31" s="2"/>
    </row>
    <row r="32" spans="2:12" ht="15.95" customHeight="1">
      <c r="B32" s="24" t="s">
        <v>38</v>
      </c>
      <c r="C32" s="19"/>
      <c r="D32" s="19"/>
      <c r="E32" s="46"/>
      <c r="F32" s="249"/>
      <c r="G32" s="25"/>
      <c r="H32" s="249"/>
      <c r="I32" s="25"/>
      <c r="J32" s="249"/>
      <c r="K32" s="46"/>
      <c r="L32" s="2"/>
    </row>
    <row r="33" spans="2:12" ht="15.95" customHeight="1">
      <c r="B33" s="24" t="s">
        <v>21</v>
      </c>
      <c r="C33" s="19"/>
      <c r="D33" s="19"/>
      <c r="E33" s="46"/>
      <c r="F33" s="249"/>
      <c r="G33" s="25"/>
      <c r="H33" s="249"/>
      <c r="I33" s="25"/>
      <c r="J33" s="249"/>
      <c r="K33" s="46"/>
      <c r="L33" s="2"/>
    </row>
    <row r="34" spans="2:12" ht="15.95" customHeight="1">
      <c r="B34" s="24" t="s">
        <v>7</v>
      </c>
      <c r="C34" s="19" t="s">
        <v>18</v>
      </c>
      <c r="D34" s="19"/>
      <c r="E34" s="46"/>
      <c r="F34" s="249"/>
      <c r="G34" s="25"/>
      <c r="H34" s="249"/>
      <c r="I34" s="25"/>
      <c r="J34" s="249"/>
      <c r="K34" s="46"/>
      <c r="L34" s="2"/>
    </row>
    <row r="35" spans="2:12" ht="15.95" customHeight="1">
      <c r="B35" s="24"/>
      <c r="C35" s="19"/>
      <c r="D35" s="19"/>
      <c r="E35" s="46"/>
      <c r="F35" s="249"/>
      <c r="G35" s="25"/>
      <c r="H35" s="249"/>
      <c r="I35" s="25"/>
      <c r="J35" s="249"/>
      <c r="K35" s="46"/>
      <c r="L35" s="2"/>
    </row>
    <row r="36" spans="2:12" ht="15.95" customHeight="1">
      <c r="B36" s="24" t="s">
        <v>39</v>
      </c>
      <c r="C36" s="19"/>
      <c r="D36" s="19"/>
      <c r="E36" s="46"/>
      <c r="F36" s="249"/>
      <c r="G36" s="25"/>
      <c r="H36" s="249"/>
      <c r="I36" s="25"/>
      <c r="J36" s="249"/>
      <c r="K36" s="46"/>
      <c r="L36" s="2"/>
    </row>
    <row r="37" spans="2:12" ht="15.95" customHeight="1">
      <c r="B37" s="24" t="s">
        <v>21</v>
      </c>
      <c r="C37" s="19"/>
      <c r="D37" s="19"/>
      <c r="E37" s="46"/>
      <c r="F37" s="249"/>
      <c r="G37" s="25"/>
      <c r="H37" s="249"/>
      <c r="I37" s="25"/>
      <c r="J37" s="249"/>
      <c r="K37" s="46"/>
      <c r="L37" s="2"/>
    </row>
    <row r="38" spans="2:12" ht="15.95" customHeight="1">
      <c r="B38" s="24" t="s">
        <v>7</v>
      </c>
      <c r="C38" s="19" t="s">
        <v>18</v>
      </c>
      <c r="D38" s="19"/>
      <c r="E38" s="46"/>
      <c r="F38" s="249"/>
      <c r="G38" s="25"/>
      <c r="H38" s="249"/>
      <c r="I38" s="25"/>
      <c r="J38" s="249"/>
      <c r="K38" s="46"/>
      <c r="L38" s="2"/>
    </row>
    <row r="39" spans="2:12" ht="15.95" customHeight="1">
      <c r="B39" s="24"/>
      <c r="C39" s="19"/>
      <c r="D39" s="19"/>
      <c r="E39" s="46"/>
      <c r="F39" s="249"/>
      <c r="G39" s="25"/>
      <c r="H39" s="249"/>
      <c r="I39" s="25"/>
      <c r="J39" s="249"/>
      <c r="K39" s="46"/>
      <c r="L39" s="2"/>
    </row>
    <row r="40" spans="2:12" ht="15.95" customHeight="1">
      <c r="B40" s="24" t="s">
        <v>25</v>
      </c>
      <c r="C40" s="19"/>
      <c r="D40" s="19"/>
      <c r="E40" s="46"/>
      <c r="F40" s="249"/>
      <c r="G40" s="25"/>
      <c r="H40" s="249"/>
      <c r="I40" s="25"/>
      <c r="J40" s="249"/>
      <c r="K40" s="46"/>
      <c r="L40" s="2"/>
    </row>
    <row r="41" spans="2:12" ht="15.95" customHeight="1">
      <c r="B41" s="24" t="s">
        <v>50</v>
      </c>
      <c r="C41" s="19"/>
      <c r="D41" s="19"/>
      <c r="E41" s="46"/>
      <c r="F41" s="249"/>
      <c r="G41" s="25"/>
      <c r="H41" s="249"/>
      <c r="I41" s="25"/>
      <c r="J41" s="249"/>
      <c r="K41" s="46"/>
      <c r="L41" s="2"/>
    </row>
    <row r="42" spans="2:12" ht="15.95" customHeight="1">
      <c r="B42" s="24" t="s">
        <v>7</v>
      </c>
      <c r="C42" s="19" t="s">
        <v>18</v>
      </c>
      <c r="D42" s="19"/>
      <c r="E42" s="46"/>
      <c r="F42" s="249"/>
      <c r="G42" s="25"/>
      <c r="H42" s="249"/>
      <c r="I42" s="25"/>
      <c r="J42" s="249"/>
      <c r="K42" s="46"/>
      <c r="L42" s="2"/>
    </row>
    <row r="43" spans="2:12" ht="15.95" customHeight="1" thickBot="1">
      <c r="B43" s="27"/>
      <c r="C43" s="28"/>
      <c r="D43" s="28"/>
      <c r="E43" s="42"/>
      <c r="F43" s="28"/>
      <c r="G43" s="22"/>
      <c r="H43" s="28"/>
      <c r="I43" s="22"/>
      <c r="J43" s="28"/>
      <c r="K43" s="42"/>
      <c r="L43" s="2"/>
    </row>
    <row r="44" spans="2:12">
      <c r="B44" s="18" t="s">
        <v>216</v>
      </c>
      <c r="C44" s="19"/>
      <c r="D44" s="19"/>
      <c r="E44" s="19"/>
      <c r="F44" s="19"/>
      <c r="G44" s="19"/>
      <c r="H44" s="19"/>
      <c r="I44" s="19"/>
      <c r="J44" s="19"/>
      <c r="K44" s="19"/>
      <c r="L44" s="2"/>
    </row>
    <row r="45" spans="2:12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2"/>
    </row>
    <row r="46" spans="2:12" ht="36.75" customHeight="1">
      <c r="B46" s="19" t="s">
        <v>213</v>
      </c>
      <c r="C46" s="2"/>
      <c r="D46" s="2"/>
      <c r="E46" s="16" t="s">
        <v>214</v>
      </c>
      <c r="F46" s="64"/>
      <c r="G46" s="16"/>
      <c r="H46" s="16"/>
      <c r="I46" s="16"/>
      <c r="J46" s="17" t="s">
        <v>215</v>
      </c>
      <c r="K46" s="2"/>
      <c r="L46" s="2"/>
    </row>
    <row r="47" spans="2:12">
      <c r="B47" s="2"/>
      <c r="C47" s="2"/>
      <c r="D47" s="2"/>
      <c r="E47" s="16"/>
      <c r="F47" s="64"/>
      <c r="G47" s="16"/>
      <c r="H47" s="16"/>
      <c r="I47" s="16"/>
      <c r="J47" s="16"/>
      <c r="K47" s="2"/>
      <c r="L47" s="2"/>
    </row>
    <row r="48" spans="2:12">
      <c r="B48" s="19"/>
      <c r="C48" s="2"/>
      <c r="D48" s="2"/>
      <c r="E48" s="16"/>
      <c r="F48" s="18"/>
      <c r="G48" s="16"/>
      <c r="H48" s="16"/>
      <c r="I48" s="16"/>
      <c r="J48" s="16"/>
      <c r="K48" s="2"/>
      <c r="L48" s="2"/>
    </row>
    <row r="49" spans="2:11">
      <c r="B49" s="15"/>
      <c r="K49" s="11" t="s">
        <v>3</v>
      </c>
    </row>
    <row r="50" spans="2:11">
      <c r="B50" s="15"/>
    </row>
    <row r="51" spans="2:11">
      <c r="B51" s="15"/>
    </row>
    <row r="52" spans="2:11">
      <c r="B52" s="15"/>
    </row>
    <row r="53" spans="2:11">
      <c r="B53" s="15"/>
    </row>
    <row r="54" spans="2:11">
      <c r="B54" s="15"/>
    </row>
  </sheetData>
  <mergeCells count="1">
    <mergeCell ref="C6:J6"/>
  </mergeCells>
  <phoneticPr fontId="0" type="noConversion"/>
  <printOptions horizontalCentered="1"/>
  <pageMargins left="0.98425196850393704" right="0.98425196850393704" top="0.98425196850393704" bottom="0.98425196850393704" header="0.74803149606299213" footer="0.31496062992125984"/>
  <pageSetup paperSize="9" scale="74" orientation="portrait" r:id="rId1"/>
  <headerFooter alignWithMargins="0">
    <oddFooter xml:space="preserve">&amp;C&amp;11&amp;P+17&amp;10
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B4:H4"/>
  <sheetViews>
    <sheetView showGridLines="0" zoomScale="75" zoomScaleNormal="75" workbookViewId="0">
      <selection activeCell="C16" sqref="C16"/>
    </sheetView>
  </sheetViews>
  <sheetFormatPr defaultColWidth="7.85546875" defaultRowHeight="15.75"/>
  <cols>
    <col min="1" max="16384" width="7.85546875" style="3"/>
  </cols>
  <sheetData>
    <row r="4" spans="2:8" ht="37.5" customHeight="1">
      <c r="B4" s="1466" t="s">
        <v>152</v>
      </c>
      <c r="C4" s="1466"/>
      <c r="D4" s="1466"/>
      <c r="E4" s="1466"/>
      <c r="F4" s="1466"/>
      <c r="G4" s="1466"/>
      <c r="H4" s="1466"/>
    </row>
  </sheetData>
  <mergeCells count="1">
    <mergeCell ref="B4:H4"/>
  </mergeCells>
  <phoneticPr fontId="0" type="noConversion"/>
  <pageMargins left="1.43" right="0.78740157499999996" top="1.29" bottom="0.984251969" header="0.4921259845" footer="0.4921259845"/>
  <pageSetup paperSize="9" scale="54" orientation="landscape" horizontalDpi="4294967292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B1:V90"/>
  <sheetViews>
    <sheetView showGridLines="0" topLeftCell="A73" zoomScale="70" zoomScaleNormal="70" zoomScaleSheetLayoutView="70" workbookViewId="0">
      <selection activeCell="D96" sqref="D96"/>
    </sheetView>
  </sheetViews>
  <sheetFormatPr defaultRowHeight="12.75"/>
  <cols>
    <col min="1" max="1" width="6.5703125" style="16" customWidth="1"/>
    <col min="2" max="2" width="12.140625" style="16" customWidth="1"/>
    <col min="3" max="3" width="52.5703125" style="16" customWidth="1"/>
    <col min="4" max="12" width="22.28515625" style="16" customWidth="1"/>
    <col min="13" max="13" width="13.7109375" style="16" customWidth="1"/>
    <col min="14" max="14" width="15.140625" style="16" customWidth="1"/>
    <col min="15" max="15" width="12.28515625" style="16" customWidth="1"/>
    <col min="16" max="16" width="3.7109375" style="16" customWidth="1"/>
    <col min="17" max="17" width="14.85546875" style="16" customWidth="1"/>
    <col min="18" max="18" width="12.85546875" style="16" customWidth="1"/>
    <col min="19" max="19" width="10.5703125" style="16" customWidth="1"/>
    <col min="20" max="21" width="9.140625" style="16"/>
    <col min="22" max="22" width="9.7109375" style="16" bestFit="1" customWidth="1"/>
    <col min="23" max="256" width="9.140625" style="16"/>
    <col min="257" max="257" width="6.5703125" style="16" customWidth="1"/>
    <col min="258" max="258" width="12.140625" style="16" customWidth="1"/>
    <col min="259" max="259" width="41.5703125" style="16" customWidth="1"/>
    <col min="260" max="268" width="15.5703125" style="16" customWidth="1"/>
    <col min="269" max="269" width="11.28515625" style="16" customWidth="1"/>
    <col min="270" max="270" width="10.7109375" style="16" customWidth="1"/>
    <col min="271" max="271" width="12.140625" style="16" customWidth="1"/>
    <col min="272" max="272" width="3.7109375" style="16" customWidth="1"/>
    <col min="273" max="273" width="14.85546875" style="16" customWidth="1"/>
    <col min="274" max="274" width="12.85546875" style="16" customWidth="1"/>
    <col min="275" max="275" width="10.5703125" style="16" customWidth="1"/>
    <col min="276" max="277" width="9.140625" style="16"/>
    <col min="278" max="278" width="9.7109375" style="16" bestFit="1" customWidth="1"/>
    <col min="279" max="512" width="9.140625" style="16"/>
    <col min="513" max="513" width="6.5703125" style="16" customWidth="1"/>
    <col min="514" max="514" width="12.140625" style="16" customWidth="1"/>
    <col min="515" max="515" width="41.5703125" style="16" customWidth="1"/>
    <col min="516" max="524" width="15.5703125" style="16" customWidth="1"/>
    <col min="525" max="525" width="11.28515625" style="16" customWidth="1"/>
    <col min="526" max="526" width="10.7109375" style="16" customWidth="1"/>
    <col min="527" max="527" width="12.140625" style="16" customWidth="1"/>
    <col min="528" max="528" width="3.7109375" style="16" customWidth="1"/>
    <col min="529" max="529" width="14.85546875" style="16" customWidth="1"/>
    <col min="530" max="530" width="12.85546875" style="16" customWidth="1"/>
    <col min="531" max="531" width="10.5703125" style="16" customWidth="1"/>
    <col min="532" max="533" width="9.140625" style="16"/>
    <col min="534" max="534" width="9.7109375" style="16" bestFit="1" customWidth="1"/>
    <col min="535" max="768" width="9.140625" style="16"/>
    <col min="769" max="769" width="6.5703125" style="16" customWidth="1"/>
    <col min="770" max="770" width="12.140625" style="16" customWidth="1"/>
    <col min="771" max="771" width="41.5703125" style="16" customWidth="1"/>
    <col min="772" max="780" width="15.5703125" style="16" customWidth="1"/>
    <col min="781" max="781" width="11.28515625" style="16" customWidth="1"/>
    <col min="782" max="782" width="10.7109375" style="16" customWidth="1"/>
    <col min="783" max="783" width="12.140625" style="16" customWidth="1"/>
    <col min="784" max="784" width="3.7109375" style="16" customWidth="1"/>
    <col min="785" max="785" width="14.85546875" style="16" customWidth="1"/>
    <col min="786" max="786" width="12.85546875" style="16" customWidth="1"/>
    <col min="787" max="787" width="10.5703125" style="16" customWidth="1"/>
    <col min="788" max="789" width="9.140625" style="16"/>
    <col min="790" max="790" width="9.7109375" style="16" bestFit="1" customWidth="1"/>
    <col min="791" max="1024" width="9.140625" style="16"/>
    <col min="1025" max="1025" width="6.5703125" style="16" customWidth="1"/>
    <col min="1026" max="1026" width="12.140625" style="16" customWidth="1"/>
    <col min="1027" max="1027" width="41.5703125" style="16" customWidth="1"/>
    <col min="1028" max="1036" width="15.5703125" style="16" customWidth="1"/>
    <col min="1037" max="1037" width="11.28515625" style="16" customWidth="1"/>
    <col min="1038" max="1038" width="10.7109375" style="16" customWidth="1"/>
    <col min="1039" max="1039" width="12.140625" style="16" customWidth="1"/>
    <col min="1040" max="1040" width="3.7109375" style="16" customWidth="1"/>
    <col min="1041" max="1041" width="14.85546875" style="16" customWidth="1"/>
    <col min="1042" max="1042" width="12.85546875" style="16" customWidth="1"/>
    <col min="1043" max="1043" width="10.5703125" style="16" customWidth="1"/>
    <col min="1044" max="1045" width="9.140625" style="16"/>
    <col min="1046" max="1046" width="9.7109375" style="16" bestFit="1" customWidth="1"/>
    <col min="1047" max="1280" width="9.140625" style="16"/>
    <col min="1281" max="1281" width="6.5703125" style="16" customWidth="1"/>
    <col min="1282" max="1282" width="12.140625" style="16" customWidth="1"/>
    <col min="1283" max="1283" width="41.5703125" style="16" customWidth="1"/>
    <col min="1284" max="1292" width="15.5703125" style="16" customWidth="1"/>
    <col min="1293" max="1293" width="11.28515625" style="16" customWidth="1"/>
    <col min="1294" max="1294" width="10.7109375" style="16" customWidth="1"/>
    <col min="1295" max="1295" width="12.140625" style="16" customWidth="1"/>
    <col min="1296" max="1296" width="3.7109375" style="16" customWidth="1"/>
    <col min="1297" max="1297" width="14.85546875" style="16" customWidth="1"/>
    <col min="1298" max="1298" width="12.85546875" style="16" customWidth="1"/>
    <col min="1299" max="1299" width="10.5703125" style="16" customWidth="1"/>
    <col min="1300" max="1301" width="9.140625" style="16"/>
    <col min="1302" max="1302" width="9.7109375" style="16" bestFit="1" customWidth="1"/>
    <col min="1303" max="1536" width="9.140625" style="16"/>
    <col min="1537" max="1537" width="6.5703125" style="16" customWidth="1"/>
    <col min="1538" max="1538" width="12.140625" style="16" customWidth="1"/>
    <col min="1539" max="1539" width="41.5703125" style="16" customWidth="1"/>
    <col min="1540" max="1548" width="15.5703125" style="16" customWidth="1"/>
    <col min="1549" max="1549" width="11.28515625" style="16" customWidth="1"/>
    <col min="1550" max="1550" width="10.7109375" style="16" customWidth="1"/>
    <col min="1551" max="1551" width="12.140625" style="16" customWidth="1"/>
    <col min="1552" max="1552" width="3.7109375" style="16" customWidth="1"/>
    <col min="1553" max="1553" width="14.85546875" style="16" customWidth="1"/>
    <col min="1554" max="1554" width="12.85546875" style="16" customWidth="1"/>
    <col min="1555" max="1555" width="10.5703125" style="16" customWidth="1"/>
    <col min="1556" max="1557" width="9.140625" style="16"/>
    <col min="1558" max="1558" width="9.7109375" style="16" bestFit="1" customWidth="1"/>
    <col min="1559" max="1792" width="9.140625" style="16"/>
    <col min="1793" max="1793" width="6.5703125" style="16" customWidth="1"/>
    <col min="1794" max="1794" width="12.140625" style="16" customWidth="1"/>
    <col min="1795" max="1795" width="41.5703125" style="16" customWidth="1"/>
    <col min="1796" max="1804" width="15.5703125" style="16" customWidth="1"/>
    <col min="1805" max="1805" width="11.28515625" style="16" customWidth="1"/>
    <col min="1806" max="1806" width="10.7109375" style="16" customWidth="1"/>
    <col min="1807" max="1807" width="12.140625" style="16" customWidth="1"/>
    <col min="1808" max="1808" width="3.7109375" style="16" customWidth="1"/>
    <col min="1809" max="1809" width="14.85546875" style="16" customWidth="1"/>
    <col min="1810" max="1810" width="12.85546875" style="16" customWidth="1"/>
    <col min="1811" max="1811" width="10.5703125" style="16" customWidth="1"/>
    <col min="1812" max="1813" width="9.140625" style="16"/>
    <col min="1814" max="1814" width="9.7109375" style="16" bestFit="1" customWidth="1"/>
    <col min="1815" max="2048" width="9.140625" style="16"/>
    <col min="2049" max="2049" width="6.5703125" style="16" customWidth="1"/>
    <col min="2050" max="2050" width="12.140625" style="16" customWidth="1"/>
    <col min="2051" max="2051" width="41.5703125" style="16" customWidth="1"/>
    <col min="2052" max="2060" width="15.5703125" style="16" customWidth="1"/>
    <col min="2061" max="2061" width="11.28515625" style="16" customWidth="1"/>
    <col min="2062" max="2062" width="10.7109375" style="16" customWidth="1"/>
    <col min="2063" max="2063" width="12.140625" style="16" customWidth="1"/>
    <col min="2064" max="2064" width="3.7109375" style="16" customWidth="1"/>
    <col min="2065" max="2065" width="14.85546875" style="16" customWidth="1"/>
    <col min="2066" max="2066" width="12.85546875" style="16" customWidth="1"/>
    <col min="2067" max="2067" width="10.5703125" style="16" customWidth="1"/>
    <col min="2068" max="2069" width="9.140625" style="16"/>
    <col min="2070" max="2070" width="9.7109375" style="16" bestFit="1" customWidth="1"/>
    <col min="2071" max="2304" width="9.140625" style="16"/>
    <col min="2305" max="2305" width="6.5703125" style="16" customWidth="1"/>
    <col min="2306" max="2306" width="12.140625" style="16" customWidth="1"/>
    <col min="2307" max="2307" width="41.5703125" style="16" customWidth="1"/>
    <col min="2308" max="2316" width="15.5703125" style="16" customWidth="1"/>
    <col min="2317" max="2317" width="11.28515625" style="16" customWidth="1"/>
    <col min="2318" max="2318" width="10.7109375" style="16" customWidth="1"/>
    <col min="2319" max="2319" width="12.140625" style="16" customWidth="1"/>
    <col min="2320" max="2320" width="3.7109375" style="16" customWidth="1"/>
    <col min="2321" max="2321" width="14.85546875" style="16" customWidth="1"/>
    <col min="2322" max="2322" width="12.85546875" style="16" customWidth="1"/>
    <col min="2323" max="2323" width="10.5703125" style="16" customWidth="1"/>
    <col min="2324" max="2325" width="9.140625" style="16"/>
    <col min="2326" max="2326" width="9.7109375" style="16" bestFit="1" customWidth="1"/>
    <col min="2327" max="2560" width="9.140625" style="16"/>
    <col min="2561" max="2561" width="6.5703125" style="16" customWidth="1"/>
    <col min="2562" max="2562" width="12.140625" style="16" customWidth="1"/>
    <col min="2563" max="2563" width="41.5703125" style="16" customWidth="1"/>
    <col min="2564" max="2572" width="15.5703125" style="16" customWidth="1"/>
    <col min="2573" max="2573" width="11.28515625" style="16" customWidth="1"/>
    <col min="2574" max="2574" width="10.7109375" style="16" customWidth="1"/>
    <col min="2575" max="2575" width="12.140625" style="16" customWidth="1"/>
    <col min="2576" max="2576" width="3.7109375" style="16" customWidth="1"/>
    <col min="2577" max="2577" width="14.85546875" style="16" customWidth="1"/>
    <col min="2578" max="2578" width="12.85546875" style="16" customWidth="1"/>
    <col min="2579" max="2579" width="10.5703125" style="16" customWidth="1"/>
    <col min="2580" max="2581" width="9.140625" style="16"/>
    <col min="2582" max="2582" width="9.7109375" style="16" bestFit="1" customWidth="1"/>
    <col min="2583" max="2816" width="9.140625" style="16"/>
    <col min="2817" max="2817" width="6.5703125" style="16" customWidth="1"/>
    <col min="2818" max="2818" width="12.140625" style="16" customWidth="1"/>
    <col min="2819" max="2819" width="41.5703125" style="16" customWidth="1"/>
    <col min="2820" max="2828" width="15.5703125" style="16" customWidth="1"/>
    <col min="2829" max="2829" width="11.28515625" style="16" customWidth="1"/>
    <col min="2830" max="2830" width="10.7109375" style="16" customWidth="1"/>
    <col min="2831" max="2831" width="12.140625" style="16" customWidth="1"/>
    <col min="2832" max="2832" width="3.7109375" style="16" customWidth="1"/>
    <col min="2833" max="2833" width="14.85546875" style="16" customWidth="1"/>
    <col min="2834" max="2834" width="12.85546875" style="16" customWidth="1"/>
    <col min="2835" max="2835" width="10.5703125" style="16" customWidth="1"/>
    <col min="2836" max="2837" width="9.140625" style="16"/>
    <col min="2838" max="2838" width="9.7109375" style="16" bestFit="1" customWidth="1"/>
    <col min="2839" max="3072" width="9.140625" style="16"/>
    <col min="3073" max="3073" width="6.5703125" style="16" customWidth="1"/>
    <col min="3074" max="3074" width="12.140625" style="16" customWidth="1"/>
    <col min="3075" max="3075" width="41.5703125" style="16" customWidth="1"/>
    <col min="3076" max="3084" width="15.5703125" style="16" customWidth="1"/>
    <col min="3085" max="3085" width="11.28515625" style="16" customWidth="1"/>
    <col min="3086" max="3086" width="10.7109375" style="16" customWidth="1"/>
    <col min="3087" max="3087" width="12.140625" style="16" customWidth="1"/>
    <col min="3088" max="3088" width="3.7109375" style="16" customWidth="1"/>
    <col min="3089" max="3089" width="14.85546875" style="16" customWidth="1"/>
    <col min="3090" max="3090" width="12.85546875" style="16" customWidth="1"/>
    <col min="3091" max="3091" width="10.5703125" style="16" customWidth="1"/>
    <col min="3092" max="3093" width="9.140625" style="16"/>
    <col min="3094" max="3094" width="9.7109375" style="16" bestFit="1" customWidth="1"/>
    <col min="3095" max="3328" width="9.140625" style="16"/>
    <col min="3329" max="3329" width="6.5703125" style="16" customWidth="1"/>
    <col min="3330" max="3330" width="12.140625" style="16" customWidth="1"/>
    <col min="3331" max="3331" width="41.5703125" style="16" customWidth="1"/>
    <col min="3332" max="3340" width="15.5703125" style="16" customWidth="1"/>
    <col min="3341" max="3341" width="11.28515625" style="16" customWidth="1"/>
    <col min="3342" max="3342" width="10.7109375" style="16" customWidth="1"/>
    <col min="3343" max="3343" width="12.140625" style="16" customWidth="1"/>
    <col min="3344" max="3344" width="3.7109375" style="16" customWidth="1"/>
    <col min="3345" max="3345" width="14.85546875" style="16" customWidth="1"/>
    <col min="3346" max="3346" width="12.85546875" style="16" customWidth="1"/>
    <col min="3347" max="3347" width="10.5703125" style="16" customWidth="1"/>
    <col min="3348" max="3349" width="9.140625" style="16"/>
    <col min="3350" max="3350" width="9.7109375" style="16" bestFit="1" customWidth="1"/>
    <col min="3351" max="3584" width="9.140625" style="16"/>
    <col min="3585" max="3585" width="6.5703125" style="16" customWidth="1"/>
    <col min="3586" max="3586" width="12.140625" style="16" customWidth="1"/>
    <col min="3587" max="3587" width="41.5703125" style="16" customWidth="1"/>
    <col min="3588" max="3596" width="15.5703125" style="16" customWidth="1"/>
    <col min="3597" max="3597" width="11.28515625" style="16" customWidth="1"/>
    <col min="3598" max="3598" width="10.7109375" style="16" customWidth="1"/>
    <col min="3599" max="3599" width="12.140625" style="16" customWidth="1"/>
    <col min="3600" max="3600" width="3.7109375" style="16" customWidth="1"/>
    <col min="3601" max="3601" width="14.85546875" style="16" customWidth="1"/>
    <col min="3602" max="3602" width="12.85546875" style="16" customWidth="1"/>
    <col min="3603" max="3603" width="10.5703125" style="16" customWidth="1"/>
    <col min="3604" max="3605" width="9.140625" style="16"/>
    <col min="3606" max="3606" width="9.7109375" style="16" bestFit="1" customWidth="1"/>
    <col min="3607" max="3840" width="9.140625" style="16"/>
    <col min="3841" max="3841" width="6.5703125" style="16" customWidth="1"/>
    <col min="3842" max="3842" width="12.140625" style="16" customWidth="1"/>
    <col min="3843" max="3843" width="41.5703125" style="16" customWidth="1"/>
    <col min="3844" max="3852" width="15.5703125" style="16" customWidth="1"/>
    <col min="3853" max="3853" width="11.28515625" style="16" customWidth="1"/>
    <col min="3854" max="3854" width="10.7109375" style="16" customWidth="1"/>
    <col min="3855" max="3855" width="12.140625" style="16" customWidth="1"/>
    <col min="3856" max="3856" width="3.7109375" style="16" customWidth="1"/>
    <col min="3857" max="3857" width="14.85546875" style="16" customWidth="1"/>
    <col min="3858" max="3858" width="12.85546875" style="16" customWidth="1"/>
    <col min="3859" max="3859" width="10.5703125" style="16" customWidth="1"/>
    <col min="3860" max="3861" width="9.140625" style="16"/>
    <col min="3862" max="3862" width="9.7109375" style="16" bestFit="1" customWidth="1"/>
    <col min="3863" max="4096" width="9.140625" style="16"/>
    <col min="4097" max="4097" width="6.5703125" style="16" customWidth="1"/>
    <col min="4098" max="4098" width="12.140625" style="16" customWidth="1"/>
    <col min="4099" max="4099" width="41.5703125" style="16" customWidth="1"/>
    <col min="4100" max="4108" width="15.5703125" style="16" customWidth="1"/>
    <col min="4109" max="4109" width="11.28515625" style="16" customWidth="1"/>
    <col min="4110" max="4110" width="10.7109375" style="16" customWidth="1"/>
    <col min="4111" max="4111" width="12.140625" style="16" customWidth="1"/>
    <col min="4112" max="4112" width="3.7109375" style="16" customWidth="1"/>
    <col min="4113" max="4113" width="14.85546875" style="16" customWidth="1"/>
    <col min="4114" max="4114" width="12.85546875" style="16" customWidth="1"/>
    <col min="4115" max="4115" width="10.5703125" style="16" customWidth="1"/>
    <col min="4116" max="4117" width="9.140625" style="16"/>
    <col min="4118" max="4118" width="9.7109375" style="16" bestFit="1" customWidth="1"/>
    <col min="4119" max="4352" width="9.140625" style="16"/>
    <col min="4353" max="4353" width="6.5703125" style="16" customWidth="1"/>
    <col min="4354" max="4354" width="12.140625" style="16" customWidth="1"/>
    <col min="4355" max="4355" width="41.5703125" style="16" customWidth="1"/>
    <col min="4356" max="4364" width="15.5703125" style="16" customWidth="1"/>
    <col min="4365" max="4365" width="11.28515625" style="16" customWidth="1"/>
    <col min="4366" max="4366" width="10.7109375" style="16" customWidth="1"/>
    <col min="4367" max="4367" width="12.140625" style="16" customWidth="1"/>
    <col min="4368" max="4368" width="3.7109375" style="16" customWidth="1"/>
    <col min="4369" max="4369" width="14.85546875" style="16" customWidth="1"/>
    <col min="4370" max="4370" width="12.85546875" style="16" customWidth="1"/>
    <col min="4371" max="4371" width="10.5703125" style="16" customWidth="1"/>
    <col min="4372" max="4373" width="9.140625" style="16"/>
    <col min="4374" max="4374" width="9.7109375" style="16" bestFit="1" customWidth="1"/>
    <col min="4375" max="4608" width="9.140625" style="16"/>
    <col min="4609" max="4609" width="6.5703125" style="16" customWidth="1"/>
    <col min="4610" max="4610" width="12.140625" style="16" customWidth="1"/>
    <col min="4611" max="4611" width="41.5703125" style="16" customWidth="1"/>
    <col min="4612" max="4620" width="15.5703125" style="16" customWidth="1"/>
    <col min="4621" max="4621" width="11.28515625" style="16" customWidth="1"/>
    <col min="4622" max="4622" width="10.7109375" style="16" customWidth="1"/>
    <col min="4623" max="4623" width="12.140625" style="16" customWidth="1"/>
    <col min="4624" max="4624" width="3.7109375" style="16" customWidth="1"/>
    <col min="4625" max="4625" width="14.85546875" style="16" customWidth="1"/>
    <col min="4626" max="4626" width="12.85546875" style="16" customWidth="1"/>
    <col min="4627" max="4627" width="10.5703125" style="16" customWidth="1"/>
    <col min="4628" max="4629" width="9.140625" style="16"/>
    <col min="4630" max="4630" width="9.7109375" style="16" bestFit="1" customWidth="1"/>
    <col min="4631" max="4864" width="9.140625" style="16"/>
    <col min="4865" max="4865" width="6.5703125" style="16" customWidth="1"/>
    <col min="4866" max="4866" width="12.140625" style="16" customWidth="1"/>
    <col min="4867" max="4867" width="41.5703125" style="16" customWidth="1"/>
    <col min="4868" max="4876" width="15.5703125" style="16" customWidth="1"/>
    <col min="4877" max="4877" width="11.28515625" style="16" customWidth="1"/>
    <col min="4878" max="4878" width="10.7109375" style="16" customWidth="1"/>
    <col min="4879" max="4879" width="12.140625" style="16" customWidth="1"/>
    <col min="4880" max="4880" width="3.7109375" style="16" customWidth="1"/>
    <col min="4881" max="4881" width="14.85546875" style="16" customWidth="1"/>
    <col min="4882" max="4882" width="12.85546875" style="16" customWidth="1"/>
    <col min="4883" max="4883" width="10.5703125" style="16" customWidth="1"/>
    <col min="4884" max="4885" width="9.140625" style="16"/>
    <col min="4886" max="4886" width="9.7109375" style="16" bestFit="1" customWidth="1"/>
    <col min="4887" max="5120" width="9.140625" style="16"/>
    <col min="5121" max="5121" width="6.5703125" style="16" customWidth="1"/>
    <col min="5122" max="5122" width="12.140625" style="16" customWidth="1"/>
    <col min="5123" max="5123" width="41.5703125" style="16" customWidth="1"/>
    <col min="5124" max="5132" width="15.5703125" style="16" customWidth="1"/>
    <col min="5133" max="5133" width="11.28515625" style="16" customWidth="1"/>
    <col min="5134" max="5134" width="10.7109375" style="16" customWidth="1"/>
    <col min="5135" max="5135" width="12.140625" style="16" customWidth="1"/>
    <col min="5136" max="5136" width="3.7109375" style="16" customWidth="1"/>
    <col min="5137" max="5137" width="14.85546875" style="16" customWidth="1"/>
    <col min="5138" max="5138" width="12.85546875" style="16" customWidth="1"/>
    <col min="5139" max="5139" width="10.5703125" style="16" customWidth="1"/>
    <col min="5140" max="5141" width="9.140625" style="16"/>
    <col min="5142" max="5142" width="9.7109375" style="16" bestFit="1" customWidth="1"/>
    <col min="5143" max="5376" width="9.140625" style="16"/>
    <col min="5377" max="5377" width="6.5703125" style="16" customWidth="1"/>
    <col min="5378" max="5378" width="12.140625" style="16" customWidth="1"/>
    <col min="5379" max="5379" width="41.5703125" style="16" customWidth="1"/>
    <col min="5380" max="5388" width="15.5703125" style="16" customWidth="1"/>
    <col min="5389" max="5389" width="11.28515625" style="16" customWidth="1"/>
    <col min="5390" max="5390" width="10.7109375" style="16" customWidth="1"/>
    <col min="5391" max="5391" width="12.140625" style="16" customWidth="1"/>
    <col min="5392" max="5392" width="3.7109375" style="16" customWidth="1"/>
    <col min="5393" max="5393" width="14.85546875" style="16" customWidth="1"/>
    <col min="5394" max="5394" width="12.85546875" style="16" customWidth="1"/>
    <col min="5395" max="5395" width="10.5703125" style="16" customWidth="1"/>
    <col min="5396" max="5397" width="9.140625" style="16"/>
    <col min="5398" max="5398" width="9.7109375" style="16" bestFit="1" customWidth="1"/>
    <col min="5399" max="5632" width="9.140625" style="16"/>
    <col min="5633" max="5633" width="6.5703125" style="16" customWidth="1"/>
    <col min="5634" max="5634" width="12.140625" style="16" customWidth="1"/>
    <col min="5635" max="5635" width="41.5703125" style="16" customWidth="1"/>
    <col min="5636" max="5644" width="15.5703125" style="16" customWidth="1"/>
    <col min="5645" max="5645" width="11.28515625" style="16" customWidth="1"/>
    <col min="5646" max="5646" width="10.7109375" style="16" customWidth="1"/>
    <col min="5647" max="5647" width="12.140625" style="16" customWidth="1"/>
    <col min="5648" max="5648" width="3.7109375" style="16" customWidth="1"/>
    <col min="5649" max="5649" width="14.85546875" style="16" customWidth="1"/>
    <col min="5650" max="5650" width="12.85546875" style="16" customWidth="1"/>
    <col min="5651" max="5651" width="10.5703125" style="16" customWidth="1"/>
    <col min="5652" max="5653" width="9.140625" style="16"/>
    <col min="5654" max="5654" width="9.7109375" style="16" bestFit="1" customWidth="1"/>
    <col min="5655" max="5888" width="9.140625" style="16"/>
    <col min="5889" max="5889" width="6.5703125" style="16" customWidth="1"/>
    <col min="5890" max="5890" width="12.140625" style="16" customWidth="1"/>
    <col min="5891" max="5891" width="41.5703125" style="16" customWidth="1"/>
    <col min="5892" max="5900" width="15.5703125" style="16" customWidth="1"/>
    <col min="5901" max="5901" width="11.28515625" style="16" customWidth="1"/>
    <col min="5902" max="5902" width="10.7109375" style="16" customWidth="1"/>
    <col min="5903" max="5903" width="12.140625" style="16" customWidth="1"/>
    <col min="5904" max="5904" width="3.7109375" style="16" customWidth="1"/>
    <col min="5905" max="5905" width="14.85546875" style="16" customWidth="1"/>
    <col min="5906" max="5906" width="12.85546875" style="16" customWidth="1"/>
    <col min="5907" max="5907" width="10.5703125" style="16" customWidth="1"/>
    <col min="5908" max="5909" width="9.140625" style="16"/>
    <col min="5910" max="5910" width="9.7109375" style="16" bestFit="1" customWidth="1"/>
    <col min="5911" max="6144" width="9.140625" style="16"/>
    <col min="6145" max="6145" width="6.5703125" style="16" customWidth="1"/>
    <col min="6146" max="6146" width="12.140625" style="16" customWidth="1"/>
    <col min="6147" max="6147" width="41.5703125" style="16" customWidth="1"/>
    <col min="6148" max="6156" width="15.5703125" style="16" customWidth="1"/>
    <col min="6157" max="6157" width="11.28515625" style="16" customWidth="1"/>
    <col min="6158" max="6158" width="10.7109375" style="16" customWidth="1"/>
    <col min="6159" max="6159" width="12.140625" style="16" customWidth="1"/>
    <col min="6160" max="6160" width="3.7109375" style="16" customWidth="1"/>
    <col min="6161" max="6161" width="14.85546875" style="16" customWidth="1"/>
    <col min="6162" max="6162" width="12.85546875" style="16" customWidth="1"/>
    <col min="6163" max="6163" width="10.5703125" style="16" customWidth="1"/>
    <col min="6164" max="6165" width="9.140625" style="16"/>
    <col min="6166" max="6166" width="9.7109375" style="16" bestFit="1" customWidth="1"/>
    <col min="6167" max="6400" width="9.140625" style="16"/>
    <col min="6401" max="6401" width="6.5703125" style="16" customWidth="1"/>
    <col min="6402" max="6402" width="12.140625" style="16" customWidth="1"/>
    <col min="6403" max="6403" width="41.5703125" style="16" customWidth="1"/>
    <col min="6404" max="6412" width="15.5703125" style="16" customWidth="1"/>
    <col min="6413" max="6413" width="11.28515625" style="16" customWidth="1"/>
    <col min="6414" max="6414" width="10.7109375" style="16" customWidth="1"/>
    <col min="6415" max="6415" width="12.140625" style="16" customWidth="1"/>
    <col min="6416" max="6416" width="3.7109375" style="16" customWidth="1"/>
    <col min="6417" max="6417" width="14.85546875" style="16" customWidth="1"/>
    <col min="6418" max="6418" width="12.85546875" style="16" customWidth="1"/>
    <col min="6419" max="6419" width="10.5703125" style="16" customWidth="1"/>
    <col min="6420" max="6421" width="9.140625" style="16"/>
    <col min="6422" max="6422" width="9.7109375" style="16" bestFit="1" customWidth="1"/>
    <col min="6423" max="6656" width="9.140625" style="16"/>
    <col min="6657" max="6657" width="6.5703125" style="16" customWidth="1"/>
    <col min="6658" max="6658" width="12.140625" style="16" customWidth="1"/>
    <col min="6659" max="6659" width="41.5703125" style="16" customWidth="1"/>
    <col min="6660" max="6668" width="15.5703125" style="16" customWidth="1"/>
    <col min="6669" max="6669" width="11.28515625" style="16" customWidth="1"/>
    <col min="6670" max="6670" width="10.7109375" style="16" customWidth="1"/>
    <col min="6671" max="6671" width="12.140625" style="16" customWidth="1"/>
    <col min="6672" max="6672" width="3.7109375" style="16" customWidth="1"/>
    <col min="6673" max="6673" width="14.85546875" style="16" customWidth="1"/>
    <col min="6674" max="6674" width="12.85546875" style="16" customWidth="1"/>
    <col min="6675" max="6675" width="10.5703125" style="16" customWidth="1"/>
    <col min="6676" max="6677" width="9.140625" style="16"/>
    <col min="6678" max="6678" width="9.7109375" style="16" bestFit="1" customWidth="1"/>
    <col min="6679" max="6912" width="9.140625" style="16"/>
    <col min="6913" max="6913" width="6.5703125" style="16" customWidth="1"/>
    <col min="6914" max="6914" width="12.140625" style="16" customWidth="1"/>
    <col min="6915" max="6915" width="41.5703125" style="16" customWidth="1"/>
    <col min="6916" max="6924" width="15.5703125" style="16" customWidth="1"/>
    <col min="6925" max="6925" width="11.28515625" style="16" customWidth="1"/>
    <col min="6926" max="6926" width="10.7109375" style="16" customWidth="1"/>
    <col min="6927" max="6927" width="12.140625" style="16" customWidth="1"/>
    <col min="6928" max="6928" width="3.7109375" style="16" customWidth="1"/>
    <col min="6929" max="6929" width="14.85546875" style="16" customWidth="1"/>
    <col min="6930" max="6930" width="12.85546875" style="16" customWidth="1"/>
    <col min="6931" max="6931" width="10.5703125" style="16" customWidth="1"/>
    <col min="6932" max="6933" width="9.140625" style="16"/>
    <col min="6934" max="6934" width="9.7109375" style="16" bestFit="1" customWidth="1"/>
    <col min="6935" max="7168" width="9.140625" style="16"/>
    <col min="7169" max="7169" width="6.5703125" style="16" customWidth="1"/>
    <col min="7170" max="7170" width="12.140625" style="16" customWidth="1"/>
    <col min="7171" max="7171" width="41.5703125" style="16" customWidth="1"/>
    <col min="7172" max="7180" width="15.5703125" style="16" customWidth="1"/>
    <col min="7181" max="7181" width="11.28515625" style="16" customWidth="1"/>
    <col min="7182" max="7182" width="10.7109375" style="16" customWidth="1"/>
    <col min="7183" max="7183" width="12.140625" style="16" customWidth="1"/>
    <col min="7184" max="7184" width="3.7109375" style="16" customWidth="1"/>
    <col min="7185" max="7185" width="14.85546875" style="16" customWidth="1"/>
    <col min="7186" max="7186" width="12.85546875" style="16" customWidth="1"/>
    <col min="7187" max="7187" width="10.5703125" style="16" customWidth="1"/>
    <col min="7188" max="7189" width="9.140625" style="16"/>
    <col min="7190" max="7190" width="9.7109375" style="16" bestFit="1" customWidth="1"/>
    <col min="7191" max="7424" width="9.140625" style="16"/>
    <col min="7425" max="7425" width="6.5703125" style="16" customWidth="1"/>
    <col min="7426" max="7426" width="12.140625" style="16" customWidth="1"/>
    <col min="7427" max="7427" width="41.5703125" style="16" customWidth="1"/>
    <col min="7428" max="7436" width="15.5703125" style="16" customWidth="1"/>
    <col min="7437" max="7437" width="11.28515625" style="16" customWidth="1"/>
    <col min="7438" max="7438" width="10.7109375" style="16" customWidth="1"/>
    <col min="7439" max="7439" width="12.140625" style="16" customWidth="1"/>
    <col min="7440" max="7440" width="3.7109375" style="16" customWidth="1"/>
    <col min="7441" max="7441" width="14.85546875" style="16" customWidth="1"/>
    <col min="7442" max="7442" width="12.85546875" style="16" customWidth="1"/>
    <col min="7443" max="7443" width="10.5703125" style="16" customWidth="1"/>
    <col min="7444" max="7445" width="9.140625" style="16"/>
    <col min="7446" max="7446" width="9.7109375" style="16" bestFit="1" customWidth="1"/>
    <col min="7447" max="7680" width="9.140625" style="16"/>
    <col min="7681" max="7681" width="6.5703125" style="16" customWidth="1"/>
    <col min="7682" max="7682" width="12.140625" style="16" customWidth="1"/>
    <col min="7683" max="7683" width="41.5703125" style="16" customWidth="1"/>
    <col min="7684" max="7692" width="15.5703125" style="16" customWidth="1"/>
    <col min="7693" max="7693" width="11.28515625" style="16" customWidth="1"/>
    <col min="7694" max="7694" width="10.7109375" style="16" customWidth="1"/>
    <col min="7695" max="7695" width="12.140625" style="16" customWidth="1"/>
    <col min="7696" max="7696" width="3.7109375" style="16" customWidth="1"/>
    <col min="7697" max="7697" width="14.85546875" style="16" customWidth="1"/>
    <col min="7698" max="7698" width="12.85546875" style="16" customWidth="1"/>
    <col min="7699" max="7699" width="10.5703125" style="16" customWidth="1"/>
    <col min="7700" max="7701" width="9.140625" style="16"/>
    <col min="7702" max="7702" width="9.7109375" style="16" bestFit="1" customWidth="1"/>
    <col min="7703" max="7936" width="9.140625" style="16"/>
    <col min="7937" max="7937" width="6.5703125" style="16" customWidth="1"/>
    <col min="7938" max="7938" width="12.140625" style="16" customWidth="1"/>
    <col min="7939" max="7939" width="41.5703125" style="16" customWidth="1"/>
    <col min="7940" max="7948" width="15.5703125" style="16" customWidth="1"/>
    <col min="7949" max="7949" width="11.28515625" style="16" customWidth="1"/>
    <col min="7950" max="7950" width="10.7109375" style="16" customWidth="1"/>
    <col min="7951" max="7951" width="12.140625" style="16" customWidth="1"/>
    <col min="7952" max="7952" width="3.7109375" style="16" customWidth="1"/>
    <col min="7953" max="7953" width="14.85546875" style="16" customWidth="1"/>
    <col min="7954" max="7954" width="12.85546875" style="16" customWidth="1"/>
    <col min="7955" max="7955" width="10.5703125" style="16" customWidth="1"/>
    <col min="7956" max="7957" width="9.140625" style="16"/>
    <col min="7958" max="7958" width="9.7109375" style="16" bestFit="1" customWidth="1"/>
    <col min="7959" max="8192" width="9.140625" style="16"/>
    <col min="8193" max="8193" width="6.5703125" style="16" customWidth="1"/>
    <col min="8194" max="8194" width="12.140625" style="16" customWidth="1"/>
    <col min="8195" max="8195" width="41.5703125" style="16" customWidth="1"/>
    <col min="8196" max="8204" width="15.5703125" style="16" customWidth="1"/>
    <col min="8205" max="8205" width="11.28515625" style="16" customWidth="1"/>
    <col min="8206" max="8206" width="10.7109375" style="16" customWidth="1"/>
    <col min="8207" max="8207" width="12.140625" style="16" customWidth="1"/>
    <col min="8208" max="8208" width="3.7109375" style="16" customWidth="1"/>
    <col min="8209" max="8209" width="14.85546875" style="16" customWidth="1"/>
    <col min="8210" max="8210" width="12.85546875" style="16" customWidth="1"/>
    <col min="8211" max="8211" width="10.5703125" style="16" customWidth="1"/>
    <col min="8212" max="8213" width="9.140625" style="16"/>
    <col min="8214" max="8214" width="9.7109375" style="16" bestFit="1" customWidth="1"/>
    <col min="8215" max="8448" width="9.140625" style="16"/>
    <col min="8449" max="8449" width="6.5703125" style="16" customWidth="1"/>
    <col min="8450" max="8450" width="12.140625" style="16" customWidth="1"/>
    <col min="8451" max="8451" width="41.5703125" style="16" customWidth="1"/>
    <col min="8452" max="8460" width="15.5703125" style="16" customWidth="1"/>
    <col min="8461" max="8461" width="11.28515625" style="16" customWidth="1"/>
    <col min="8462" max="8462" width="10.7109375" style="16" customWidth="1"/>
    <col min="8463" max="8463" width="12.140625" style="16" customWidth="1"/>
    <col min="8464" max="8464" width="3.7109375" style="16" customWidth="1"/>
    <col min="8465" max="8465" width="14.85546875" style="16" customWidth="1"/>
    <col min="8466" max="8466" width="12.85546875" style="16" customWidth="1"/>
    <col min="8467" max="8467" width="10.5703125" style="16" customWidth="1"/>
    <col min="8468" max="8469" width="9.140625" style="16"/>
    <col min="8470" max="8470" width="9.7109375" style="16" bestFit="1" customWidth="1"/>
    <col min="8471" max="8704" width="9.140625" style="16"/>
    <col min="8705" max="8705" width="6.5703125" style="16" customWidth="1"/>
    <col min="8706" max="8706" width="12.140625" style="16" customWidth="1"/>
    <col min="8707" max="8707" width="41.5703125" style="16" customWidth="1"/>
    <col min="8708" max="8716" width="15.5703125" style="16" customWidth="1"/>
    <col min="8717" max="8717" width="11.28515625" style="16" customWidth="1"/>
    <col min="8718" max="8718" width="10.7109375" style="16" customWidth="1"/>
    <col min="8719" max="8719" width="12.140625" style="16" customWidth="1"/>
    <col min="8720" max="8720" width="3.7109375" style="16" customWidth="1"/>
    <col min="8721" max="8721" width="14.85546875" style="16" customWidth="1"/>
    <col min="8722" max="8722" width="12.85546875" style="16" customWidth="1"/>
    <col min="8723" max="8723" width="10.5703125" style="16" customWidth="1"/>
    <col min="8724" max="8725" width="9.140625" style="16"/>
    <col min="8726" max="8726" width="9.7109375" style="16" bestFit="1" customWidth="1"/>
    <col min="8727" max="8960" width="9.140625" style="16"/>
    <col min="8961" max="8961" width="6.5703125" style="16" customWidth="1"/>
    <col min="8962" max="8962" width="12.140625" style="16" customWidth="1"/>
    <col min="8963" max="8963" width="41.5703125" style="16" customWidth="1"/>
    <col min="8964" max="8972" width="15.5703125" style="16" customWidth="1"/>
    <col min="8973" max="8973" width="11.28515625" style="16" customWidth="1"/>
    <col min="8974" max="8974" width="10.7109375" style="16" customWidth="1"/>
    <col min="8975" max="8975" width="12.140625" style="16" customWidth="1"/>
    <col min="8976" max="8976" width="3.7109375" style="16" customWidth="1"/>
    <col min="8977" max="8977" width="14.85546875" style="16" customWidth="1"/>
    <col min="8978" max="8978" width="12.85546875" style="16" customWidth="1"/>
    <col min="8979" max="8979" width="10.5703125" style="16" customWidth="1"/>
    <col min="8980" max="8981" width="9.140625" style="16"/>
    <col min="8982" max="8982" width="9.7109375" style="16" bestFit="1" customWidth="1"/>
    <col min="8983" max="9216" width="9.140625" style="16"/>
    <col min="9217" max="9217" width="6.5703125" style="16" customWidth="1"/>
    <col min="9218" max="9218" width="12.140625" style="16" customWidth="1"/>
    <col min="9219" max="9219" width="41.5703125" style="16" customWidth="1"/>
    <col min="9220" max="9228" width="15.5703125" style="16" customWidth="1"/>
    <col min="9229" max="9229" width="11.28515625" style="16" customWidth="1"/>
    <col min="9230" max="9230" width="10.7109375" style="16" customWidth="1"/>
    <col min="9231" max="9231" width="12.140625" style="16" customWidth="1"/>
    <col min="9232" max="9232" width="3.7109375" style="16" customWidth="1"/>
    <col min="9233" max="9233" width="14.85546875" style="16" customWidth="1"/>
    <col min="9234" max="9234" width="12.85546875" style="16" customWidth="1"/>
    <col min="9235" max="9235" width="10.5703125" style="16" customWidth="1"/>
    <col min="9236" max="9237" width="9.140625" style="16"/>
    <col min="9238" max="9238" width="9.7109375" style="16" bestFit="1" customWidth="1"/>
    <col min="9239" max="9472" width="9.140625" style="16"/>
    <col min="9473" max="9473" width="6.5703125" style="16" customWidth="1"/>
    <col min="9474" max="9474" width="12.140625" style="16" customWidth="1"/>
    <col min="9475" max="9475" width="41.5703125" style="16" customWidth="1"/>
    <col min="9476" max="9484" width="15.5703125" style="16" customWidth="1"/>
    <col min="9485" max="9485" width="11.28515625" style="16" customWidth="1"/>
    <col min="9486" max="9486" width="10.7109375" style="16" customWidth="1"/>
    <col min="9487" max="9487" width="12.140625" style="16" customWidth="1"/>
    <col min="9488" max="9488" width="3.7109375" style="16" customWidth="1"/>
    <col min="9489" max="9489" width="14.85546875" style="16" customWidth="1"/>
    <col min="9490" max="9490" width="12.85546875" style="16" customWidth="1"/>
    <col min="9491" max="9491" width="10.5703125" style="16" customWidth="1"/>
    <col min="9492" max="9493" width="9.140625" style="16"/>
    <col min="9494" max="9494" width="9.7109375" style="16" bestFit="1" customWidth="1"/>
    <col min="9495" max="9728" width="9.140625" style="16"/>
    <col min="9729" max="9729" width="6.5703125" style="16" customWidth="1"/>
    <col min="9730" max="9730" width="12.140625" style="16" customWidth="1"/>
    <col min="9731" max="9731" width="41.5703125" style="16" customWidth="1"/>
    <col min="9732" max="9740" width="15.5703125" style="16" customWidth="1"/>
    <col min="9741" max="9741" width="11.28515625" style="16" customWidth="1"/>
    <col min="9742" max="9742" width="10.7109375" style="16" customWidth="1"/>
    <col min="9743" max="9743" width="12.140625" style="16" customWidth="1"/>
    <col min="9744" max="9744" width="3.7109375" style="16" customWidth="1"/>
    <col min="9745" max="9745" width="14.85546875" style="16" customWidth="1"/>
    <col min="9746" max="9746" width="12.85546875" style="16" customWidth="1"/>
    <col min="9747" max="9747" width="10.5703125" style="16" customWidth="1"/>
    <col min="9748" max="9749" width="9.140625" style="16"/>
    <col min="9750" max="9750" width="9.7109375" style="16" bestFit="1" customWidth="1"/>
    <col min="9751" max="9984" width="9.140625" style="16"/>
    <col min="9985" max="9985" width="6.5703125" style="16" customWidth="1"/>
    <col min="9986" max="9986" width="12.140625" style="16" customWidth="1"/>
    <col min="9987" max="9987" width="41.5703125" style="16" customWidth="1"/>
    <col min="9988" max="9996" width="15.5703125" style="16" customWidth="1"/>
    <col min="9997" max="9997" width="11.28515625" style="16" customWidth="1"/>
    <col min="9998" max="9998" width="10.7109375" style="16" customWidth="1"/>
    <col min="9999" max="9999" width="12.140625" style="16" customWidth="1"/>
    <col min="10000" max="10000" width="3.7109375" style="16" customWidth="1"/>
    <col min="10001" max="10001" width="14.85546875" style="16" customWidth="1"/>
    <col min="10002" max="10002" width="12.85546875" style="16" customWidth="1"/>
    <col min="10003" max="10003" width="10.5703125" style="16" customWidth="1"/>
    <col min="10004" max="10005" width="9.140625" style="16"/>
    <col min="10006" max="10006" width="9.7109375" style="16" bestFit="1" customWidth="1"/>
    <col min="10007" max="10240" width="9.140625" style="16"/>
    <col min="10241" max="10241" width="6.5703125" style="16" customWidth="1"/>
    <col min="10242" max="10242" width="12.140625" style="16" customWidth="1"/>
    <col min="10243" max="10243" width="41.5703125" style="16" customWidth="1"/>
    <col min="10244" max="10252" width="15.5703125" style="16" customWidth="1"/>
    <col min="10253" max="10253" width="11.28515625" style="16" customWidth="1"/>
    <col min="10254" max="10254" width="10.7109375" style="16" customWidth="1"/>
    <col min="10255" max="10255" width="12.140625" style="16" customWidth="1"/>
    <col min="10256" max="10256" width="3.7109375" style="16" customWidth="1"/>
    <col min="10257" max="10257" width="14.85546875" style="16" customWidth="1"/>
    <col min="10258" max="10258" width="12.85546875" style="16" customWidth="1"/>
    <col min="10259" max="10259" width="10.5703125" style="16" customWidth="1"/>
    <col min="10260" max="10261" width="9.140625" style="16"/>
    <col min="10262" max="10262" width="9.7109375" style="16" bestFit="1" customWidth="1"/>
    <col min="10263" max="10496" width="9.140625" style="16"/>
    <col min="10497" max="10497" width="6.5703125" style="16" customWidth="1"/>
    <col min="10498" max="10498" width="12.140625" style="16" customWidth="1"/>
    <col min="10499" max="10499" width="41.5703125" style="16" customWidth="1"/>
    <col min="10500" max="10508" width="15.5703125" style="16" customWidth="1"/>
    <col min="10509" max="10509" width="11.28515625" style="16" customWidth="1"/>
    <col min="10510" max="10510" width="10.7109375" style="16" customWidth="1"/>
    <col min="10511" max="10511" width="12.140625" style="16" customWidth="1"/>
    <col min="10512" max="10512" width="3.7109375" style="16" customWidth="1"/>
    <col min="10513" max="10513" width="14.85546875" style="16" customWidth="1"/>
    <col min="10514" max="10514" width="12.85546875" style="16" customWidth="1"/>
    <col min="10515" max="10515" width="10.5703125" style="16" customWidth="1"/>
    <col min="10516" max="10517" width="9.140625" style="16"/>
    <col min="10518" max="10518" width="9.7109375" style="16" bestFit="1" customWidth="1"/>
    <col min="10519" max="10752" width="9.140625" style="16"/>
    <col min="10753" max="10753" width="6.5703125" style="16" customWidth="1"/>
    <col min="10754" max="10754" width="12.140625" style="16" customWidth="1"/>
    <col min="10755" max="10755" width="41.5703125" style="16" customWidth="1"/>
    <col min="10756" max="10764" width="15.5703125" style="16" customWidth="1"/>
    <col min="10765" max="10765" width="11.28515625" style="16" customWidth="1"/>
    <col min="10766" max="10766" width="10.7109375" style="16" customWidth="1"/>
    <col min="10767" max="10767" width="12.140625" style="16" customWidth="1"/>
    <col min="10768" max="10768" width="3.7109375" style="16" customWidth="1"/>
    <col min="10769" max="10769" width="14.85546875" style="16" customWidth="1"/>
    <col min="10770" max="10770" width="12.85546875" style="16" customWidth="1"/>
    <col min="10771" max="10771" width="10.5703125" style="16" customWidth="1"/>
    <col min="10772" max="10773" width="9.140625" style="16"/>
    <col min="10774" max="10774" width="9.7109375" style="16" bestFit="1" customWidth="1"/>
    <col min="10775" max="11008" width="9.140625" style="16"/>
    <col min="11009" max="11009" width="6.5703125" style="16" customWidth="1"/>
    <col min="11010" max="11010" width="12.140625" style="16" customWidth="1"/>
    <col min="11011" max="11011" width="41.5703125" style="16" customWidth="1"/>
    <col min="11012" max="11020" width="15.5703125" style="16" customWidth="1"/>
    <col min="11021" max="11021" width="11.28515625" style="16" customWidth="1"/>
    <col min="11022" max="11022" width="10.7109375" style="16" customWidth="1"/>
    <col min="11023" max="11023" width="12.140625" style="16" customWidth="1"/>
    <col min="11024" max="11024" width="3.7109375" style="16" customWidth="1"/>
    <col min="11025" max="11025" width="14.85546875" style="16" customWidth="1"/>
    <col min="11026" max="11026" width="12.85546875" style="16" customWidth="1"/>
    <col min="11027" max="11027" width="10.5703125" style="16" customWidth="1"/>
    <col min="11028" max="11029" width="9.140625" style="16"/>
    <col min="11030" max="11030" width="9.7109375" style="16" bestFit="1" customWidth="1"/>
    <col min="11031" max="11264" width="9.140625" style="16"/>
    <col min="11265" max="11265" width="6.5703125" style="16" customWidth="1"/>
    <col min="11266" max="11266" width="12.140625" style="16" customWidth="1"/>
    <col min="11267" max="11267" width="41.5703125" style="16" customWidth="1"/>
    <col min="11268" max="11276" width="15.5703125" style="16" customWidth="1"/>
    <col min="11277" max="11277" width="11.28515625" style="16" customWidth="1"/>
    <col min="11278" max="11278" width="10.7109375" style="16" customWidth="1"/>
    <col min="11279" max="11279" width="12.140625" style="16" customWidth="1"/>
    <col min="11280" max="11280" width="3.7109375" style="16" customWidth="1"/>
    <col min="11281" max="11281" width="14.85546875" style="16" customWidth="1"/>
    <col min="11282" max="11282" width="12.85546875" style="16" customWidth="1"/>
    <col min="11283" max="11283" width="10.5703125" style="16" customWidth="1"/>
    <col min="11284" max="11285" width="9.140625" style="16"/>
    <col min="11286" max="11286" width="9.7109375" style="16" bestFit="1" customWidth="1"/>
    <col min="11287" max="11520" width="9.140625" style="16"/>
    <col min="11521" max="11521" width="6.5703125" style="16" customWidth="1"/>
    <col min="11522" max="11522" width="12.140625" style="16" customWidth="1"/>
    <col min="11523" max="11523" width="41.5703125" style="16" customWidth="1"/>
    <col min="11524" max="11532" width="15.5703125" style="16" customWidth="1"/>
    <col min="11533" max="11533" width="11.28515625" style="16" customWidth="1"/>
    <col min="11534" max="11534" width="10.7109375" style="16" customWidth="1"/>
    <col min="11535" max="11535" width="12.140625" style="16" customWidth="1"/>
    <col min="11536" max="11536" width="3.7109375" style="16" customWidth="1"/>
    <col min="11537" max="11537" width="14.85546875" style="16" customWidth="1"/>
    <col min="11538" max="11538" width="12.85546875" style="16" customWidth="1"/>
    <col min="11539" max="11539" width="10.5703125" style="16" customWidth="1"/>
    <col min="11540" max="11541" width="9.140625" style="16"/>
    <col min="11542" max="11542" width="9.7109375" style="16" bestFit="1" customWidth="1"/>
    <col min="11543" max="11776" width="9.140625" style="16"/>
    <col min="11777" max="11777" width="6.5703125" style="16" customWidth="1"/>
    <col min="11778" max="11778" width="12.140625" style="16" customWidth="1"/>
    <col min="11779" max="11779" width="41.5703125" style="16" customWidth="1"/>
    <col min="11780" max="11788" width="15.5703125" style="16" customWidth="1"/>
    <col min="11789" max="11789" width="11.28515625" style="16" customWidth="1"/>
    <col min="11790" max="11790" width="10.7109375" style="16" customWidth="1"/>
    <col min="11791" max="11791" width="12.140625" style="16" customWidth="1"/>
    <col min="11792" max="11792" width="3.7109375" style="16" customWidth="1"/>
    <col min="11793" max="11793" width="14.85546875" style="16" customWidth="1"/>
    <col min="11794" max="11794" width="12.85546875" style="16" customWidth="1"/>
    <col min="11795" max="11795" width="10.5703125" style="16" customWidth="1"/>
    <col min="11796" max="11797" width="9.140625" style="16"/>
    <col min="11798" max="11798" width="9.7109375" style="16" bestFit="1" customWidth="1"/>
    <col min="11799" max="12032" width="9.140625" style="16"/>
    <col min="12033" max="12033" width="6.5703125" style="16" customWidth="1"/>
    <col min="12034" max="12034" width="12.140625" style="16" customWidth="1"/>
    <col min="12035" max="12035" width="41.5703125" style="16" customWidth="1"/>
    <col min="12036" max="12044" width="15.5703125" style="16" customWidth="1"/>
    <col min="12045" max="12045" width="11.28515625" style="16" customWidth="1"/>
    <col min="12046" max="12046" width="10.7109375" style="16" customWidth="1"/>
    <col min="12047" max="12047" width="12.140625" style="16" customWidth="1"/>
    <col min="12048" max="12048" width="3.7109375" style="16" customWidth="1"/>
    <col min="12049" max="12049" width="14.85546875" style="16" customWidth="1"/>
    <col min="12050" max="12050" width="12.85546875" style="16" customWidth="1"/>
    <col min="12051" max="12051" width="10.5703125" style="16" customWidth="1"/>
    <col min="12052" max="12053" width="9.140625" style="16"/>
    <col min="12054" max="12054" width="9.7109375" style="16" bestFit="1" customWidth="1"/>
    <col min="12055" max="12288" width="9.140625" style="16"/>
    <col min="12289" max="12289" width="6.5703125" style="16" customWidth="1"/>
    <col min="12290" max="12290" width="12.140625" style="16" customWidth="1"/>
    <col min="12291" max="12291" width="41.5703125" style="16" customWidth="1"/>
    <col min="12292" max="12300" width="15.5703125" style="16" customWidth="1"/>
    <col min="12301" max="12301" width="11.28515625" style="16" customWidth="1"/>
    <col min="12302" max="12302" width="10.7109375" style="16" customWidth="1"/>
    <col min="12303" max="12303" width="12.140625" style="16" customWidth="1"/>
    <col min="12304" max="12304" width="3.7109375" style="16" customWidth="1"/>
    <col min="12305" max="12305" width="14.85546875" style="16" customWidth="1"/>
    <col min="12306" max="12306" width="12.85546875" style="16" customWidth="1"/>
    <col min="12307" max="12307" width="10.5703125" style="16" customWidth="1"/>
    <col min="12308" max="12309" width="9.140625" style="16"/>
    <col min="12310" max="12310" width="9.7109375" style="16" bestFit="1" customWidth="1"/>
    <col min="12311" max="12544" width="9.140625" style="16"/>
    <col min="12545" max="12545" width="6.5703125" style="16" customWidth="1"/>
    <col min="12546" max="12546" width="12.140625" style="16" customWidth="1"/>
    <col min="12547" max="12547" width="41.5703125" style="16" customWidth="1"/>
    <col min="12548" max="12556" width="15.5703125" style="16" customWidth="1"/>
    <col min="12557" max="12557" width="11.28515625" style="16" customWidth="1"/>
    <col min="12558" max="12558" width="10.7109375" style="16" customWidth="1"/>
    <col min="12559" max="12559" width="12.140625" style="16" customWidth="1"/>
    <col min="12560" max="12560" width="3.7109375" style="16" customWidth="1"/>
    <col min="12561" max="12561" width="14.85546875" style="16" customWidth="1"/>
    <col min="12562" max="12562" width="12.85546875" style="16" customWidth="1"/>
    <col min="12563" max="12563" width="10.5703125" style="16" customWidth="1"/>
    <col min="12564" max="12565" width="9.140625" style="16"/>
    <col min="12566" max="12566" width="9.7109375" style="16" bestFit="1" customWidth="1"/>
    <col min="12567" max="12800" width="9.140625" style="16"/>
    <col min="12801" max="12801" width="6.5703125" style="16" customWidth="1"/>
    <col min="12802" max="12802" width="12.140625" style="16" customWidth="1"/>
    <col min="12803" max="12803" width="41.5703125" style="16" customWidth="1"/>
    <col min="12804" max="12812" width="15.5703125" style="16" customWidth="1"/>
    <col min="12813" max="12813" width="11.28515625" style="16" customWidth="1"/>
    <col min="12814" max="12814" width="10.7109375" style="16" customWidth="1"/>
    <col min="12815" max="12815" width="12.140625" style="16" customWidth="1"/>
    <col min="12816" max="12816" width="3.7109375" style="16" customWidth="1"/>
    <col min="12817" max="12817" width="14.85546875" style="16" customWidth="1"/>
    <col min="12818" max="12818" width="12.85546875" style="16" customWidth="1"/>
    <col min="12819" max="12819" width="10.5703125" style="16" customWidth="1"/>
    <col min="12820" max="12821" width="9.140625" style="16"/>
    <col min="12822" max="12822" width="9.7109375" style="16" bestFit="1" customWidth="1"/>
    <col min="12823" max="13056" width="9.140625" style="16"/>
    <col min="13057" max="13057" width="6.5703125" style="16" customWidth="1"/>
    <col min="13058" max="13058" width="12.140625" style="16" customWidth="1"/>
    <col min="13059" max="13059" width="41.5703125" style="16" customWidth="1"/>
    <col min="13060" max="13068" width="15.5703125" style="16" customWidth="1"/>
    <col min="13069" max="13069" width="11.28515625" style="16" customWidth="1"/>
    <col min="13070" max="13070" width="10.7109375" style="16" customWidth="1"/>
    <col min="13071" max="13071" width="12.140625" style="16" customWidth="1"/>
    <col min="13072" max="13072" width="3.7109375" style="16" customWidth="1"/>
    <col min="13073" max="13073" width="14.85546875" style="16" customWidth="1"/>
    <col min="13074" max="13074" width="12.85546875" style="16" customWidth="1"/>
    <col min="13075" max="13075" width="10.5703125" style="16" customWidth="1"/>
    <col min="13076" max="13077" width="9.140625" style="16"/>
    <col min="13078" max="13078" width="9.7109375" style="16" bestFit="1" customWidth="1"/>
    <col min="13079" max="13312" width="9.140625" style="16"/>
    <col min="13313" max="13313" width="6.5703125" style="16" customWidth="1"/>
    <col min="13314" max="13314" width="12.140625" style="16" customWidth="1"/>
    <col min="13315" max="13315" width="41.5703125" style="16" customWidth="1"/>
    <col min="13316" max="13324" width="15.5703125" style="16" customWidth="1"/>
    <col min="13325" max="13325" width="11.28515625" style="16" customWidth="1"/>
    <col min="13326" max="13326" width="10.7109375" style="16" customWidth="1"/>
    <col min="13327" max="13327" width="12.140625" style="16" customWidth="1"/>
    <col min="13328" max="13328" width="3.7109375" style="16" customWidth="1"/>
    <col min="13329" max="13329" width="14.85546875" style="16" customWidth="1"/>
    <col min="13330" max="13330" width="12.85546875" style="16" customWidth="1"/>
    <col min="13331" max="13331" width="10.5703125" style="16" customWidth="1"/>
    <col min="13332" max="13333" width="9.140625" style="16"/>
    <col min="13334" max="13334" width="9.7109375" style="16" bestFit="1" customWidth="1"/>
    <col min="13335" max="13568" width="9.140625" style="16"/>
    <col min="13569" max="13569" width="6.5703125" style="16" customWidth="1"/>
    <col min="13570" max="13570" width="12.140625" style="16" customWidth="1"/>
    <col min="13571" max="13571" width="41.5703125" style="16" customWidth="1"/>
    <col min="13572" max="13580" width="15.5703125" style="16" customWidth="1"/>
    <col min="13581" max="13581" width="11.28515625" style="16" customWidth="1"/>
    <col min="13582" max="13582" width="10.7109375" style="16" customWidth="1"/>
    <col min="13583" max="13583" width="12.140625" style="16" customWidth="1"/>
    <col min="13584" max="13584" width="3.7109375" style="16" customWidth="1"/>
    <col min="13585" max="13585" width="14.85546875" style="16" customWidth="1"/>
    <col min="13586" max="13586" width="12.85546875" style="16" customWidth="1"/>
    <col min="13587" max="13587" width="10.5703125" style="16" customWidth="1"/>
    <col min="13588" max="13589" width="9.140625" style="16"/>
    <col min="13590" max="13590" width="9.7109375" style="16" bestFit="1" customWidth="1"/>
    <col min="13591" max="13824" width="9.140625" style="16"/>
    <col min="13825" max="13825" width="6.5703125" style="16" customWidth="1"/>
    <col min="13826" max="13826" width="12.140625" style="16" customWidth="1"/>
    <col min="13827" max="13827" width="41.5703125" style="16" customWidth="1"/>
    <col min="13828" max="13836" width="15.5703125" style="16" customWidth="1"/>
    <col min="13837" max="13837" width="11.28515625" style="16" customWidth="1"/>
    <col min="13838" max="13838" width="10.7109375" style="16" customWidth="1"/>
    <col min="13839" max="13839" width="12.140625" style="16" customWidth="1"/>
    <col min="13840" max="13840" width="3.7109375" style="16" customWidth="1"/>
    <col min="13841" max="13841" width="14.85546875" style="16" customWidth="1"/>
    <col min="13842" max="13842" width="12.85546875" style="16" customWidth="1"/>
    <col min="13843" max="13843" width="10.5703125" style="16" customWidth="1"/>
    <col min="13844" max="13845" width="9.140625" style="16"/>
    <col min="13846" max="13846" width="9.7109375" style="16" bestFit="1" customWidth="1"/>
    <col min="13847" max="14080" width="9.140625" style="16"/>
    <col min="14081" max="14081" width="6.5703125" style="16" customWidth="1"/>
    <col min="14082" max="14082" width="12.140625" style="16" customWidth="1"/>
    <col min="14083" max="14083" width="41.5703125" style="16" customWidth="1"/>
    <col min="14084" max="14092" width="15.5703125" style="16" customWidth="1"/>
    <col min="14093" max="14093" width="11.28515625" style="16" customWidth="1"/>
    <col min="14094" max="14094" width="10.7109375" style="16" customWidth="1"/>
    <col min="14095" max="14095" width="12.140625" style="16" customWidth="1"/>
    <col min="14096" max="14096" width="3.7109375" style="16" customWidth="1"/>
    <col min="14097" max="14097" width="14.85546875" style="16" customWidth="1"/>
    <col min="14098" max="14098" width="12.85546875" style="16" customWidth="1"/>
    <col min="14099" max="14099" width="10.5703125" style="16" customWidth="1"/>
    <col min="14100" max="14101" width="9.140625" style="16"/>
    <col min="14102" max="14102" width="9.7109375" style="16" bestFit="1" customWidth="1"/>
    <col min="14103" max="14336" width="9.140625" style="16"/>
    <col min="14337" max="14337" width="6.5703125" style="16" customWidth="1"/>
    <col min="14338" max="14338" width="12.140625" style="16" customWidth="1"/>
    <col min="14339" max="14339" width="41.5703125" style="16" customWidth="1"/>
    <col min="14340" max="14348" width="15.5703125" style="16" customWidth="1"/>
    <col min="14349" max="14349" width="11.28515625" style="16" customWidth="1"/>
    <col min="14350" max="14350" width="10.7109375" style="16" customWidth="1"/>
    <col min="14351" max="14351" width="12.140625" style="16" customWidth="1"/>
    <col min="14352" max="14352" width="3.7109375" style="16" customWidth="1"/>
    <col min="14353" max="14353" width="14.85546875" style="16" customWidth="1"/>
    <col min="14354" max="14354" width="12.85546875" style="16" customWidth="1"/>
    <col min="14355" max="14355" width="10.5703125" style="16" customWidth="1"/>
    <col min="14356" max="14357" width="9.140625" style="16"/>
    <col min="14358" max="14358" width="9.7109375" style="16" bestFit="1" customWidth="1"/>
    <col min="14359" max="14592" width="9.140625" style="16"/>
    <col min="14593" max="14593" width="6.5703125" style="16" customWidth="1"/>
    <col min="14594" max="14594" width="12.140625" style="16" customWidth="1"/>
    <col min="14595" max="14595" width="41.5703125" style="16" customWidth="1"/>
    <col min="14596" max="14604" width="15.5703125" style="16" customWidth="1"/>
    <col min="14605" max="14605" width="11.28515625" style="16" customWidth="1"/>
    <col min="14606" max="14606" width="10.7109375" style="16" customWidth="1"/>
    <col min="14607" max="14607" width="12.140625" style="16" customWidth="1"/>
    <col min="14608" max="14608" width="3.7109375" style="16" customWidth="1"/>
    <col min="14609" max="14609" width="14.85546875" style="16" customWidth="1"/>
    <col min="14610" max="14610" width="12.85546875" style="16" customWidth="1"/>
    <col min="14611" max="14611" width="10.5703125" style="16" customWidth="1"/>
    <col min="14612" max="14613" width="9.140625" style="16"/>
    <col min="14614" max="14614" width="9.7109375" style="16" bestFit="1" customWidth="1"/>
    <col min="14615" max="14848" width="9.140625" style="16"/>
    <col min="14849" max="14849" width="6.5703125" style="16" customWidth="1"/>
    <col min="14850" max="14850" width="12.140625" style="16" customWidth="1"/>
    <col min="14851" max="14851" width="41.5703125" style="16" customWidth="1"/>
    <col min="14852" max="14860" width="15.5703125" style="16" customWidth="1"/>
    <col min="14861" max="14861" width="11.28515625" style="16" customWidth="1"/>
    <col min="14862" max="14862" width="10.7109375" style="16" customWidth="1"/>
    <col min="14863" max="14863" width="12.140625" style="16" customWidth="1"/>
    <col min="14864" max="14864" width="3.7109375" style="16" customWidth="1"/>
    <col min="14865" max="14865" width="14.85546875" style="16" customWidth="1"/>
    <col min="14866" max="14866" width="12.85546875" style="16" customWidth="1"/>
    <col min="14867" max="14867" width="10.5703125" style="16" customWidth="1"/>
    <col min="14868" max="14869" width="9.140625" style="16"/>
    <col min="14870" max="14870" width="9.7109375" style="16" bestFit="1" customWidth="1"/>
    <col min="14871" max="15104" width="9.140625" style="16"/>
    <col min="15105" max="15105" width="6.5703125" style="16" customWidth="1"/>
    <col min="15106" max="15106" width="12.140625" style="16" customWidth="1"/>
    <col min="15107" max="15107" width="41.5703125" style="16" customWidth="1"/>
    <col min="15108" max="15116" width="15.5703125" style="16" customWidth="1"/>
    <col min="15117" max="15117" width="11.28515625" style="16" customWidth="1"/>
    <col min="15118" max="15118" width="10.7109375" style="16" customWidth="1"/>
    <col min="15119" max="15119" width="12.140625" style="16" customWidth="1"/>
    <col min="15120" max="15120" width="3.7109375" style="16" customWidth="1"/>
    <col min="15121" max="15121" width="14.85546875" style="16" customWidth="1"/>
    <col min="15122" max="15122" width="12.85546875" style="16" customWidth="1"/>
    <col min="15123" max="15123" width="10.5703125" style="16" customWidth="1"/>
    <col min="15124" max="15125" width="9.140625" style="16"/>
    <col min="15126" max="15126" width="9.7109375" style="16" bestFit="1" customWidth="1"/>
    <col min="15127" max="15360" width="9.140625" style="16"/>
    <col min="15361" max="15361" width="6.5703125" style="16" customWidth="1"/>
    <col min="15362" max="15362" width="12.140625" style="16" customWidth="1"/>
    <col min="15363" max="15363" width="41.5703125" style="16" customWidth="1"/>
    <col min="15364" max="15372" width="15.5703125" style="16" customWidth="1"/>
    <col min="15373" max="15373" width="11.28515625" style="16" customWidth="1"/>
    <col min="15374" max="15374" width="10.7109375" style="16" customWidth="1"/>
    <col min="15375" max="15375" width="12.140625" style="16" customWidth="1"/>
    <col min="15376" max="15376" width="3.7109375" style="16" customWidth="1"/>
    <col min="15377" max="15377" width="14.85546875" style="16" customWidth="1"/>
    <col min="15378" max="15378" width="12.85546875" style="16" customWidth="1"/>
    <col min="15379" max="15379" width="10.5703125" style="16" customWidth="1"/>
    <col min="15380" max="15381" width="9.140625" style="16"/>
    <col min="15382" max="15382" width="9.7109375" style="16" bestFit="1" customWidth="1"/>
    <col min="15383" max="15616" width="9.140625" style="16"/>
    <col min="15617" max="15617" width="6.5703125" style="16" customWidth="1"/>
    <col min="15618" max="15618" width="12.140625" style="16" customWidth="1"/>
    <col min="15619" max="15619" width="41.5703125" style="16" customWidth="1"/>
    <col min="15620" max="15628" width="15.5703125" style="16" customWidth="1"/>
    <col min="15629" max="15629" width="11.28515625" style="16" customWidth="1"/>
    <col min="15630" max="15630" width="10.7109375" style="16" customWidth="1"/>
    <col min="15631" max="15631" width="12.140625" style="16" customWidth="1"/>
    <col min="15632" max="15632" width="3.7109375" style="16" customWidth="1"/>
    <col min="15633" max="15633" width="14.85546875" style="16" customWidth="1"/>
    <col min="15634" max="15634" width="12.85546875" style="16" customWidth="1"/>
    <col min="15635" max="15635" width="10.5703125" style="16" customWidth="1"/>
    <col min="15636" max="15637" width="9.140625" style="16"/>
    <col min="15638" max="15638" width="9.7109375" style="16" bestFit="1" customWidth="1"/>
    <col min="15639" max="15872" width="9.140625" style="16"/>
    <col min="15873" max="15873" width="6.5703125" style="16" customWidth="1"/>
    <col min="15874" max="15874" width="12.140625" style="16" customWidth="1"/>
    <col min="15875" max="15875" width="41.5703125" style="16" customWidth="1"/>
    <col min="15876" max="15884" width="15.5703125" style="16" customWidth="1"/>
    <col min="15885" max="15885" width="11.28515625" style="16" customWidth="1"/>
    <col min="15886" max="15886" width="10.7109375" style="16" customWidth="1"/>
    <col min="15887" max="15887" width="12.140625" style="16" customWidth="1"/>
    <col min="15888" max="15888" width="3.7109375" style="16" customWidth="1"/>
    <col min="15889" max="15889" width="14.85546875" style="16" customWidth="1"/>
    <col min="15890" max="15890" width="12.85546875" style="16" customWidth="1"/>
    <col min="15891" max="15891" width="10.5703125" style="16" customWidth="1"/>
    <col min="15892" max="15893" width="9.140625" style="16"/>
    <col min="15894" max="15894" width="9.7109375" style="16" bestFit="1" customWidth="1"/>
    <col min="15895" max="16128" width="9.140625" style="16"/>
    <col min="16129" max="16129" width="6.5703125" style="16" customWidth="1"/>
    <col min="16130" max="16130" width="12.140625" style="16" customWidth="1"/>
    <col min="16131" max="16131" width="41.5703125" style="16" customWidth="1"/>
    <col min="16132" max="16140" width="15.5703125" style="16" customWidth="1"/>
    <col min="16141" max="16141" width="11.28515625" style="16" customWidth="1"/>
    <col min="16142" max="16142" width="10.7109375" style="16" customWidth="1"/>
    <col min="16143" max="16143" width="12.140625" style="16" customWidth="1"/>
    <col min="16144" max="16144" width="3.7109375" style="16" customWidth="1"/>
    <col min="16145" max="16145" width="14.85546875" style="16" customWidth="1"/>
    <col min="16146" max="16146" width="12.85546875" style="16" customWidth="1"/>
    <col min="16147" max="16147" width="10.5703125" style="16" customWidth="1"/>
    <col min="16148" max="16149" width="9.140625" style="16"/>
    <col min="16150" max="16150" width="9.7109375" style="16" bestFit="1" customWidth="1"/>
    <col min="16151" max="16384" width="9.140625" style="16"/>
  </cols>
  <sheetData>
    <row r="1" spans="2:17" s="653" customFormat="1" ht="24.75" customHeight="1">
      <c r="B1" s="653" t="s">
        <v>635</v>
      </c>
      <c r="D1" s="654"/>
      <c r="E1" s="654"/>
      <c r="F1" s="654"/>
      <c r="G1" s="654"/>
      <c r="H1" s="654"/>
      <c r="I1" s="654"/>
      <c r="J1" s="654"/>
      <c r="K1" s="654"/>
      <c r="N1" s="792" t="s">
        <v>657</v>
      </c>
      <c r="O1" s="656"/>
    </row>
    <row r="2" spans="2:17" ht="20.25">
      <c r="N2" s="655" t="s">
        <v>659</v>
      </c>
    </row>
    <row r="3" spans="2:17" s="653" customFormat="1" ht="23.25" customHeight="1">
      <c r="B3" s="1467" t="s">
        <v>579</v>
      </c>
      <c r="C3" s="1467"/>
      <c r="D3" s="1467"/>
      <c r="E3" s="1467"/>
      <c r="F3" s="1467"/>
      <c r="G3" s="1467"/>
      <c r="H3" s="1467"/>
      <c r="I3" s="1467"/>
      <c r="J3" s="1467"/>
      <c r="K3" s="1467"/>
      <c r="L3" s="1467"/>
      <c r="M3" s="1467"/>
      <c r="N3" s="1467"/>
      <c r="O3" s="1467"/>
    </row>
    <row r="4" spans="2:17" s="653" customFormat="1" ht="13.5" customHeight="1">
      <c r="C4" s="655"/>
      <c r="D4" s="654"/>
      <c r="E4" s="654"/>
      <c r="F4" s="654"/>
      <c r="G4" s="654"/>
      <c r="H4" s="654"/>
      <c r="I4" s="654"/>
      <c r="J4" s="654"/>
      <c r="K4" s="654"/>
      <c r="N4" s="1468"/>
      <c r="O4" s="1468"/>
    </row>
    <row r="5" spans="2:17" s="653" customFormat="1" ht="21.75" customHeight="1">
      <c r="B5" s="1469" t="s">
        <v>580</v>
      </c>
      <c r="C5" s="1469"/>
      <c r="D5" s="1469"/>
      <c r="E5" s="1469"/>
      <c r="F5" s="1469"/>
      <c r="G5" s="1469"/>
      <c r="H5" s="1469"/>
      <c r="I5" s="1469"/>
      <c r="J5" s="1469"/>
      <c r="K5" s="1469"/>
      <c r="L5" s="1469"/>
      <c r="M5" s="1469"/>
      <c r="N5" s="1469"/>
      <c r="O5" s="1469"/>
    </row>
    <row r="6" spans="2:17" ht="18" customHeight="1">
      <c r="B6" s="1470" t="s">
        <v>581</v>
      </c>
      <c r="C6" s="1471"/>
      <c r="D6" s="1471"/>
      <c r="E6" s="1471"/>
      <c r="F6" s="1471"/>
      <c r="G6" s="1471"/>
      <c r="H6" s="1471"/>
      <c r="I6" s="1471"/>
      <c r="J6" s="1471"/>
      <c r="K6" s="1471"/>
      <c r="L6" s="1471"/>
      <c r="M6" s="1471"/>
      <c r="N6" s="1471"/>
      <c r="O6" s="1471"/>
    </row>
    <row r="7" spans="2:17" ht="15" customHeight="1" thickBot="1">
      <c r="C7" s="507"/>
      <c r="D7" s="507"/>
      <c r="E7" s="507"/>
      <c r="F7" s="507"/>
      <c r="G7" s="507"/>
      <c r="H7" s="507"/>
      <c r="I7" s="507"/>
      <c r="J7" s="507"/>
      <c r="K7" s="507"/>
      <c r="L7" s="507"/>
      <c r="M7" s="507"/>
      <c r="N7" s="507"/>
      <c r="O7" s="673" t="s">
        <v>0</v>
      </c>
    </row>
    <row r="8" spans="2:17" s="747" customFormat="1" ht="21" customHeight="1" thickBot="1">
      <c r="B8" s="1472" t="s">
        <v>582</v>
      </c>
      <c r="C8" s="1473"/>
      <c r="D8" s="1478" t="s">
        <v>583</v>
      </c>
      <c r="E8" s="1479"/>
      <c r="F8" s="1479"/>
      <c r="G8" s="1479"/>
      <c r="H8" s="1479"/>
      <c r="I8" s="1480"/>
      <c r="J8" s="1472" t="s">
        <v>584</v>
      </c>
      <c r="K8" s="1481"/>
      <c r="L8" s="1482"/>
      <c r="M8" s="1472" t="s">
        <v>5</v>
      </c>
      <c r="N8" s="1481"/>
      <c r="O8" s="1482"/>
    </row>
    <row r="9" spans="2:17" s="747" customFormat="1" ht="21" customHeight="1" thickBot="1">
      <c r="B9" s="1474"/>
      <c r="C9" s="1475"/>
      <c r="D9" s="1478" t="s">
        <v>1</v>
      </c>
      <c r="E9" s="1479"/>
      <c r="F9" s="1480"/>
      <c r="G9" s="1478" t="s">
        <v>2</v>
      </c>
      <c r="H9" s="1479"/>
      <c r="I9" s="1480"/>
      <c r="J9" s="1483"/>
      <c r="K9" s="1484"/>
      <c r="L9" s="1485"/>
      <c r="M9" s="1483"/>
      <c r="N9" s="1484"/>
      <c r="O9" s="1485"/>
    </row>
    <row r="10" spans="2:17" s="747" customFormat="1" ht="50.25" customHeight="1" thickBot="1">
      <c r="B10" s="1476"/>
      <c r="C10" s="1477"/>
      <c r="D10" s="813" t="s">
        <v>585</v>
      </c>
      <c r="E10" s="814" t="s">
        <v>586</v>
      </c>
      <c r="F10" s="815" t="s">
        <v>17</v>
      </c>
      <c r="G10" s="813" t="s">
        <v>585</v>
      </c>
      <c r="H10" s="814" t="s">
        <v>586</v>
      </c>
      <c r="I10" s="815" t="s">
        <v>17</v>
      </c>
      <c r="J10" s="813" t="s">
        <v>585</v>
      </c>
      <c r="K10" s="814" t="s">
        <v>586</v>
      </c>
      <c r="L10" s="815" t="s">
        <v>17</v>
      </c>
      <c r="M10" s="816" t="s">
        <v>585</v>
      </c>
      <c r="N10" s="812" t="s">
        <v>586</v>
      </c>
      <c r="O10" s="815" t="s">
        <v>17</v>
      </c>
    </row>
    <row r="11" spans="2:17" ht="20.25" customHeight="1" thickBot="1">
      <c r="B11" s="512" t="s">
        <v>587</v>
      </c>
      <c r="C11" s="513" t="s">
        <v>588</v>
      </c>
      <c r="D11" s="514">
        <v>1</v>
      </c>
      <c r="E11" s="515">
        <v>2</v>
      </c>
      <c r="F11" s="516">
        <v>3</v>
      </c>
      <c r="G11" s="517">
        <v>4</v>
      </c>
      <c r="H11" s="515">
        <v>5</v>
      </c>
      <c r="I11" s="516">
        <v>6</v>
      </c>
      <c r="J11" s="514">
        <v>7</v>
      </c>
      <c r="K11" s="515">
        <v>8</v>
      </c>
      <c r="L11" s="516">
        <v>9</v>
      </c>
      <c r="M11" s="517" t="s">
        <v>589</v>
      </c>
      <c r="N11" s="518" t="s">
        <v>590</v>
      </c>
      <c r="O11" s="519" t="s">
        <v>591</v>
      </c>
      <c r="P11" s="17"/>
      <c r="Q11" s="17"/>
    </row>
    <row r="12" spans="2:17" s="520" customFormat="1" ht="15" customHeight="1" thickBot="1">
      <c r="B12" s="1489" t="s">
        <v>592</v>
      </c>
      <c r="C12" s="1490"/>
      <c r="D12" s="1490"/>
      <c r="E12" s="1490"/>
      <c r="F12" s="1490"/>
      <c r="G12" s="1490"/>
      <c r="H12" s="1490"/>
      <c r="I12" s="1490"/>
      <c r="J12" s="1490"/>
      <c r="K12" s="1490"/>
      <c r="L12" s="1490"/>
      <c r="M12" s="1490"/>
      <c r="N12" s="1490"/>
      <c r="O12" s="1491"/>
    </row>
    <row r="13" spans="2:17" ht="15" customHeight="1">
      <c r="B13" s="521"/>
      <c r="C13" s="522" t="s">
        <v>593</v>
      </c>
      <c r="D13" s="523"/>
      <c r="E13" s="524"/>
      <c r="F13" s="525"/>
      <c r="G13" s="526"/>
      <c r="H13" s="524"/>
      <c r="I13" s="525"/>
      <c r="J13" s="523"/>
      <c r="K13" s="524"/>
      <c r="L13" s="525"/>
      <c r="M13" s="527"/>
      <c r="N13" s="528"/>
      <c r="O13" s="529"/>
    </row>
    <row r="14" spans="2:17" s="538" customFormat="1" ht="15" customHeight="1" thickBot="1">
      <c r="B14" s="530"/>
      <c r="C14" s="531" t="s">
        <v>594</v>
      </c>
      <c r="D14" s="532"/>
      <c r="E14" s="533"/>
      <c r="F14" s="534">
        <f>SUM(D14:E14)</f>
        <v>0</v>
      </c>
      <c r="G14" s="532"/>
      <c r="H14" s="533"/>
      <c r="I14" s="534">
        <f>SUM(G14:H14)</f>
        <v>0</v>
      </c>
      <c r="J14" s="532"/>
      <c r="K14" s="533"/>
      <c r="L14" s="534">
        <f>SUM(J14:K14)</f>
        <v>0</v>
      </c>
      <c r="M14" s="535"/>
      <c r="N14" s="536"/>
      <c r="O14" s="537"/>
    </row>
    <row r="15" spans="2:17" s="658" customFormat="1" ht="15" customHeight="1" thickBot="1">
      <c r="B15" s="1492" t="s">
        <v>595</v>
      </c>
      <c r="C15" s="1493"/>
      <c r="D15" s="1493"/>
      <c r="E15" s="1493"/>
      <c r="F15" s="1493"/>
      <c r="G15" s="1493"/>
      <c r="H15" s="1493"/>
      <c r="I15" s="1493"/>
      <c r="J15" s="1493"/>
      <c r="K15" s="1493"/>
      <c r="L15" s="1493"/>
      <c r="M15" s="1493"/>
      <c r="N15" s="1493"/>
      <c r="O15" s="1494"/>
    </row>
    <row r="16" spans="2:17" ht="15" customHeight="1">
      <c r="B16" s="539" t="s">
        <v>596</v>
      </c>
      <c r="C16" s="540" t="s">
        <v>597</v>
      </c>
      <c r="D16" s="541">
        <v>93454.73</v>
      </c>
      <c r="E16" s="542">
        <v>573.45500000000004</v>
      </c>
      <c r="F16" s="543">
        <f t="shared" ref="F16:F25" si="0">SUM(D16:E16)</f>
        <v>94028.184999999998</v>
      </c>
      <c r="G16" s="541">
        <v>104893.48758</v>
      </c>
      <c r="H16" s="542">
        <v>3632174.0767000001</v>
      </c>
      <c r="I16" s="543">
        <f t="shared" ref="I16:I25" si="1">SUM(G16:H16)</f>
        <v>3737067.56428</v>
      </c>
      <c r="J16" s="541">
        <v>866099.13174999994</v>
      </c>
      <c r="K16" s="542">
        <v>4941843.2068800004</v>
      </c>
      <c r="L16" s="543">
        <f t="shared" ref="L16:L25" si="2">SUM(J16:K16)</f>
        <v>5807942.3386300001</v>
      </c>
      <c r="M16" s="794">
        <f t="shared" ref="M16:O25" si="3">J16/G16</f>
        <v>8.256939031505123</v>
      </c>
      <c r="N16" s="795">
        <f t="shared" si="3"/>
        <v>1.3605744390340169</v>
      </c>
      <c r="O16" s="796">
        <f t="shared" si="3"/>
        <v>1.554144322715499</v>
      </c>
    </row>
    <row r="17" spans="2:18" ht="15" customHeight="1">
      <c r="B17" s="546" t="s">
        <v>598</v>
      </c>
      <c r="C17" s="547" t="s">
        <v>599</v>
      </c>
      <c r="D17" s="548">
        <v>27525.567999999999</v>
      </c>
      <c r="E17" s="549">
        <v>176681.954</v>
      </c>
      <c r="F17" s="550">
        <f t="shared" si="0"/>
        <v>204207.522</v>
      </c>
      <c r="G17" s="548">
        <v>19785.341219999998</v>
      </c>
      <c r="H17" s="549">
        <v>136699.62830000001</v>
      </c>
      <c r="I17" s="550">
        <f t="shared" si="1"/>
        <v>156484.96952000001</v>
      </c>
      <c r="J17" s="548">
        <v>34213.866999999998</v>
      </c>
      <c r="K17" s="549">
        <v>175521.53265000001</v>
      </c>
      <c r="L17" s="550">
        <f t="shared" si="2"/>
        <v>209735.39965000001</v>
      </c>
      <c r="M17" s="794">
        <f t="shared" si="3"/>
        <v>1.7292533204034377</v>
      </c>
      <c r="N17" s="795">
        <f t="shared" si="3"/>
        <v>1.2839942202681176</v>
      </c>
      <c r="O17" s="796">
        <f t="shared" si="3"/>
        <v>1.3402910215168886</v>
      </c>
    </row>
    <row r="18" spans="2:18" ht="15" customHeight="1">
      <c r="B18" s="546" t="s">
        <v>600</v>
      </c>
      <c r="C18" s="547" t="s">
        <v>601</v>
      </c>
      <c r="D18" s="548">
        <v>152.1</v>
      </c>
      <c r="E18" s="549">
        <v>864.25</v>
      </c>
      <c r="F18" s="550">
        <f t="shared" si="0"/>
        <v>1016.35</v>
      </c>
      <c r="G18" s="548">
        <v>152.1</v>
      </c>
      <c r="H18" s="549">
        <v>864.25</v>
      </c>
      <c r="I18" s="550">
        <f t="shared" si="1"/>
        <v>1016.35</v>
      </c>
      <c r="J18" s="548">
        <v>227.86378999999999</v>
      </c>
      <c r="K18" s="549">
        <v>1291.2048199999999</v>
      </c>
      <c r="L18" s="550">
        <f t="shared" si="2"/>
        <v>1519.0686099999998</v>
      </c>
      <c r="M18" s="794">
        <f t="shared" si="3"/>
        <v>1.4981182774490467</v>
      </c>
      <c r="N18" s="795">
        <f t="shared" si="3"/>
        <v>1.4940177263523284</v>
      </c>
      <c r="O18" s="796">
        <f t="shared" si="3"/>
        <v>1.4946313868254044</v>
      </c>
    </row>
    <row r="19" spans="2:18" ht="15" customHeight="1">
      <c r="B19" s="546" t="s">
        <v>602</v>
      </c>
      <c r="C19" s="547" t="s">
        <v>603</v>
      </c>
      <c r="D19" s="548">
        <v>0</v>
      </c>
      <c r="E19" s="549">
        <v>0</v>
      </c>
      <c r="F19" s="550">
        <f t="shared" si="0"/>
        <v>0</v>
      </c>
      <c r="G19" s="548">
        <v>142.91800000000001</v>
      </c>
      <c r="H19" s="549">
        <v>809.86699999999996</v>
      </c>
      <c r="I19" s="550">
        <f t="shared" si="1"/>
        <v>952.78499999999997</v>
      </c>
      <c r="J19" s="548">
        <v>142.91800000000001</v>
      </c>
      <c r="K19" s="549">
        <v>809.86699999999996</v>
      </c>
      <c r="L19" s="550">
        <f t="shared" si="2"/>
        <v>952.78499999999997</v>
      </c>
      <c r="M19" s="794">
        <f t="shared" si="3"/>
        <v>1</v>
      </c>
      <c r="N19" s="795">
        <f t="shared" si="3"/>
        <v>1</v>
      </c>
      <c r="O19" s="796">
        <f t="shared" si="3"/>
        <v>1</v>
      </c>
    </row>
    <row r="20" spans="2:18" ht="15" customHeight="1">
      <c r="B20" s="551" t="s">
        <v>604</v>
      </c>
      <c r="C20" s="552" t="s">
        <v>605</v>
      </c>
      <c r="D20" s="553">
        <v>238.25700000000001</v>
      </c>
      <c r="E20" s="554">
        <v>6655.6270000000004</v>
      </c>
      <c r="F20" s="555">
        <f t="shared" si="0"/>
        <v>6893.884</v>
      </c>
      <c r="G20" s="553">
        <v>238.25700000000001</v>
      </c>
      <c r="H20" s="554">
        <v>6655.6270000000004</v>
      </c>
      <c r="I20" s="555">
        <f t="shared" si="1"/>
        <v>6893.884</v>
      </c>
      <c r="J20" s="553">
        <v>19612.465319999999</v>
      </c>
      <c r="K20" s="554">
        <v>196639.75682000001</v>
      </c>
      <c r="L20" s="555">
        <f t="shared" si="2"/>
        <v>216252.22214</v>
      </c>
      <c r="M20" s="797">
        <f t="shared" si="3"/>
        <v>82.31642856243468</v>
      </c>
      <c r="N20" s="798">
        <f t="shared" si="3"/>
        <v>29.544888380914376</v>
      </c>
      <c r="O20" s="799">
        <f t="shared" si="3"/>
        <v>31.368706253252881</v>
      </c>
      <c r="R20" s="556"/>
    </row>
    <row r="21" spans="2:18" s="562" customFormat="1" ht="15" customHeight="1">
      <c r="B21" s="557"/>
      <c r="C21" s="558" t="s">
        <v>606</v>
      </c>
      <c r="D21" s="559">
        <f>SUM(D16:D20)</f>
        <v>121370.655</v>
      </c>
      <c r="E21" s="560">
        <f>SUM(E16:E20)</f>
        <v>184775.28599999999</v>
      </c>
      <c r="F21" s="561">
        <f t="shared" si="0"/>
        <v>306145.94099999999</v>
      </c>
      <c r="G21" s="559">
        <f>SUM(G16:G20)</f>
        <v>125212.10380000001</v>
      </c>
      <c r="H21" s="560">
        <f>SUM(H16:H20)</f>
        <v>3777203.449</v>
      </c>
      <c r="I21" s="561">
        <f t="shared" si="1"/>
        <v>3902415.5528000002</v>
      </c>
      <c r="J21" s="559">
        <f>SUM(J16:J20)</f>
        <v>920296.24585999979</v>
      </c>
      <c r="K21" s="560">
        <f>SUM(K16:K20)</f>
        <v>5316105.5681699999</v>
      </c>
      <c r="L21" s="561">
        <f t="shared" si="2"/>
        <v>6236401.81403</v>
      </c>
      <c r="M21" s="800">
        <f t="shared" si="3"/>
        <v>7.3498984357772583</v>
      </c>
      <c r="N21" s="801">
        <f t="shared" si="3"/>
        <v>1.4074183823954249</v>
      </c>
      <c r="O21" s="802">
        <f t="shared" si="3"/>
        <v>1.5980875766947358</v>
      </c>
    </row>
    <row r="22" spans="2:18" ht="15" customHeight="1">
      <c r="B22" s="563" t="s">
        <v>607</v>
      </c>
      <c r="C22" s="564" t="s">
        <v>608</v>
      </c>
      <c r="D22" s="565">
        <v>4504</v>
      </c>
      <c r="E22" s="566">
        <v>1200</v>
      </c>
      <c r="F22" s="567">
        <f t="shared" si="0"/>
        <v>5704</v>
      </c>
      <c r="G22" s="565">
        <v>19583.851149999999</v>
      </c>
      <c r="H22" s="566">
        <v>3253.1529999999998</v>
      </c>
      <c r="I22" s="567">
        <f t="shared" si="1"/>
        <v>22837.004149999997</v>
      </c>
      <c r="J22" s="565">
        <v>32865.546739999998</v>
      </c>
      <c r="K22" s="566">
        <v>130034.39466999999</v>
      </c>
      <c r="L22" s="567">
        <f t="shared" si="2"/>
        <v>162899.94141</v>
      </c>
      <c r="M22" s="794">
        <f t="shared" si="3"/>
        <v>1.6781963102287978</v>
      </c>
      <c r="N22" s="795">
        <f t="shared" si="3"/>
        <v>39.971804175825731</v>
      </c>
      <c r="O22" s="796">
        <f t="shared" si="3"/>
        <v>7.1331572363882074</v>
      </c>
    </row>
    <row r="23" spans="2:18" ht="15" customHeight="1">
      <c r="B23" s="546" t="s">
        <v>609</v>
      </c>
      <c r="C23" s="547" t="s">
        <v>610</v>
      </c>
      <c r="D23" s="548">
        <v>437.5</v>
      </c>
      <c r="E23" s="549">
        <v>1750</v>
      </c>
      <c r="F23" s="550">
        <f t="shared" si="0"/>
        <v>2187.5</v>
      </c>
      <c r="G23" s="548">
        <v>437.5</v>
      </c>
      <c r="H23" s="549">
        <v>1750</v>
      </c>
      <c r="I23" s="550">
        <f t="shared" si="1"/>
        <v>2187.5</v>
      </c>
      <c r="J23" s="548">
        <v>382.34615000000002</v>
      </c>
      <c r="K23" s="549">
        <v>1562.7901199999999</v>
      </c>
      <c r="L23" s="550">
        <f t="shared" si="2"/>
        <v>1945.13627</v>
      </c>
      <c r="M23" s="794">
        <f t="shared" si="3"/>
        <v>0.87393405714285721</v>
      </c>
      <c r="N23" s="795">
        <f t="shared" si="3"/>
        <v>0.89302292571428565</v>
      </c>
      <c r="O23" s="796">
        <f t="shared" si="3"/>
        <v>0.88920515199999994</v>
      </c>
    </row>
    <row r="24" spans="2:18" ht="15" customHeight="1" thickBot="1">
      <c r="B24" s="675"/>
      <c r="C24" s="569" t="s">
        <v>611</v>
      </c>
      <c r="D24" s="570">
        <f>SUM(D22:D23)</f>
        <v>4941.5</v>
      </c>
      <c r="E24" s="571">
        <f>SUM(E22:E23)</f>
        <v>2950</v>
      </c>
      <c r="F24" s="572">
        <f t="shared" si="0"/>
        <v>7891.5</v>
      </c>
      <c r="G24" s="570">
        <f>SUM(G22:G23)</f>
        <v>20021.351149999999</v>
      </c>
      <c r="H24" s="571">
        <f>SUM(H22:H23)</f>
        <v>5003.1530000000002</v>
      </c>
      <c r="I24" s="572">
        <f t="shared" si="1"/>
        <v>25024.504150000001</v>
      </c>
      <c r="J24" s="570">
        <f>SUM(J22:J23)</f>
        <v>33247.892889999996</v>
      </c>
      <c r="K24" s="571">
        <f>SUM(K22:K23)</f>
        <v>131597.18479</v>
      </c>
      <c r="L24" s="572">
        <f t="shared" si="2"/>
        <v>164845.07767999999</v>
      </c>
      <c r="M24" s="803">
        <f t="shared" si="3"/>
        <v>1.6606218352051629</v>
      </c>
      <c r="N24" s="804">
        <f t="shared" si="3"/>
        <v>26.302850380550023</v>
      </c>
      <c r="O24" s="805">
        <f t="shared" si="3"/>
        <v>6.5873464142145641</v>
      </c>
    </row>
    <row r="25" spans="2:18" s="671" customFormat="1" ht="20.25" customHeight="1" thickBot="1">
      <c r="B25" s="676"/>
      <c r="C25" s="674" t="s">
        <v>594</v>
      </c>
      <c r="D25" s="822">
        <f>D24+D21</f>
        <v>126312.155</v>
      </c>
      <c r="E25" s="822">
        <f>E24+E21</f>
        <v>187725.28599999999</v>
      </c>
      <c r="F25" s="822">
        <f t="shared" si="0"/>
        <v>314037.44099999999</v>
      </c>
      <c r="G25" s="822">
        <f>G24+G21</f>
        <v>145233.45495000001</v>
      </c>
      <c r="H25" s="822">
        <f>H24+H21</f>
        <v>3782206.602</v>
      </c>
      <c r="I25" s="822">
        <f t="shared" si="1"/>
        <v>3927440.0569500001</v>
      </c>
      <c r="J25" s="822">
        <f>J24+J21</f>
        <v>953544.13874999981</v>
      </c>
      <c r="K25" s="822">
        <f>K24+K21</f>
        <v>5447702.7529600002</v>
      </c>
      <c r="L25" s="822">
        <f t="shared" si="2"/>
        <v>6401246.8917100001</v>
      </c>
      <c r="M25" s="806">
        <f t="shared" si="3"/>
        <v>6.5655956410200353</v>
      </c>
      <c r="N25" s="807">
        <f t="shared" si="3"/>
        <v>1.4403503896585923</v>
      </c>
      <c r="O25" s="808">
        <f t="shared" si="3"/>
        <v>1.6298776808527859</v>
      </c>
    </row>
    <row r="26" spans="2:18" s="658" customFormat="1" ht="24" customHeight="1" thickBot="1">
      <c r="B26" s="1492" t="s">
        <v>612</v>
      </c>
      <c r="C26" s="1493"/>
      <c r="D26" s="1493"/>
      <c r="E26" s="1493"/>
      <c r="F26" s="1493"/>
      <c r="G26" s="1493"/>
      <c r="H26" s="1493"/>
      <c r="I26" s="1493"/>
      <c r="J26" s="1493"/>
      <c r="K26" s="1493"/>
      <c r="L26" s="1493"/>
      <c r="M26" s="1493"/>
      <c r="N26" s="1493"/>
      <c r="O26" s="1494"/>
    </row>
    <row r="27" spans="2:18" ht="15" customHeight="1">
      <c r="B27" s="573">
        <v>107</v>
      </c>
      <c r="C27" s="540" t="s">
        <v>613</v>
      </c>
      <c r="D27" s="565">
        <v>0</v>
      </c>
      <c r="E27" s="566">
        <v>0</v>
      </c>
      <c r="F27" s="543">
        <f t="shared" ref="F27:F34" si="4">SUM(D27:E27)</f>
        <v>0</v>
      </c>
      <c r="G27" s="565">
        <v>13796.185939999999</v>
      </c>
      <c r="H27" s="566">
        <v>0</v>
      </c>
      <c r="I27" s="543">
        <f t="shared" ref="I27:I34" si="5">SUM(G27:H27)</f>
        <v>13796.185939999999</v>
      </c>
      <c r="J27" s="565">
        <v>0</v>
      </c>
      <c r="K27" s="566">
        <v>0</v>
      </c>
      <c r="L27" s="543">
        <f t="shared" ref="L27:L34" si="6">SUM(J27:K27)</f>
        <v>0</v>
      </c>
      <c r="M27" s="794">
        <f t="shared" ref="M27:N33" si="7">J27/G27</f>
        <v>0</v>
      </c>
      <c r="N27" s="795"/>
      <c r="O27" s="796">
        <f t="shared" ref="O27:O33" si="8">L27/I27</f>
        <v>0</v>
      </c>
    </row>
    <row r="28" spans="2:18" ht="15" customHeight="1">
      <c r="B28" s="546" t="s">
        <v>614</v>
      </c>
      <c r="C28" s="547" t="s">
        <v>615</v>
      </c>
      <c r="D28" s="548">
        <v>0</v>
      </c>
      <c r="E28" s="549">
        <v>0</v>
      </c>
      <c r="F28" s="550">
        <f t="shared" si="4"/>
        <v>0</v>
      </c>
      <c r="G28" s="548">
        <v>2265.5830000000001</v>
      </c>
      <c r="H28" s="549">
        <v>9571.3070000000007</v>
      </c>
      <c r="I28" s="550">
        <f t="shared" si="5"/>
        <v>11836.890000000001</v>
      </c>
      <c r="J28" s="548">
        <v>216.25023999999999</v>
      </c>
      <c r="K28" s="549">
        <v>913.58938000000001</v>
      </c>
      <c r="L28" s="550">
        <f t="shared" si="6"/>
        <v>1129.83962</v>
      </c>
      <c r="M28" s="794">
        <f t="shared" si="7"/>
        <v>9.5450151241424391E-2</v>
      </c>
      <c r="N28" s="795">
        <f t="shared" si="7"/>
        <v>9.5450849084665237E-2</v>
      </c>
      <c r="O28" s="796">
        <f t="shared" si="8"/>
        <v>9.5450715517336041E-2</v>
      </c>
    </row>
    <row r="29" spans="2:18" s="562" customFormat="1" ht="15" customHeight="1">
      <c r="B29" s="557"/>
      <c r="C29" s="558" t="s">
        <v>606</v>
      </c>
      <c r="D29" s="559">
        <f>SUM(D27:D28)</f>
        <v>0</v>
      </c>
      <c r="E29" s="560">
        <f>SUM(E27:E28)</f>
        <v>0</v>
      </c>
      <c r="F29" s="561">
        <f t="shared" si="4"/>
        <v>0</v>
      </c>
      <c r="G29" s="559">
        <f>SUM(G27:G28)</f>
        <v>16061.76894</v>
      </c>
      <c r="H29" s="560">
        <f>SUM(H27:H28)</f>
        <v>9571.3070000000007</v>
      </c>
      <c r="I29" s="561">
        <f t="shared" si="5"/>
        <v>25633.075940000002</v>
      </c>
      <c r="J29" s="559">
        <f>SUM(J27:J28)</f>
        <v>216.25023999999999</v>
      </c>
      <c r="K29" s="560">
        <f>SUM(K27:K28)</f>
        <v>913.58938000000001</v>
      </c>
      <c r="L29" s="561">
        <f t="shared" si="6"/>
        <v>1129.83962</v>
      </c>
      <c r="M29" s="800">
        <f t="shared" si="7"/>
        <v>1.3463662739005882E-2</v>
      </c>
      <c r="N29" s="801">
        <f t="shared" si="7"/>
        <v>9.5450849084665237E-2</v>
      </c>
      <c r="O29" s="802">
        <f t="shared" si="8"/>
        <v>4.4077410867296787E-2</v>
      </c>
    </row>
    <row r="30" spans="2:18" ht="15" customHeight="1">
      <c r="B30" s="574" t="s">
        <v>616</v>
      </c>
      <c r="C30" s="575" t="s">
        <v>617</v>
      </c>
      <c r="D30" s="565">
        <v>0</v>
      </c>
      <c r="E30" s="566">
        <v>0</v>
      </c>
      <c r="F30" s="567">
        <f t="shared" si="4"/>
        <v>0</v>
      </c>
      <c r="G30" s="565">
        <v>0</v>
      </c>
      <c r="H30" s="566">
        <v>0</v>
      </c>
      <c r="I30" s="567">
        <f t="shared" si="5"/>
        <v>0</v>
      </c>
      <c r="J30" s="565">
        <v>0</v>
      </c>
      <c r="K30" s="566">
        <v>867.49680000000001</v>
      </c>
      <c r="L30" s="567">
        <f t="shared" si="6"/>
        <v>867.49680000000001</v>
      </c>
      <c r="M30" s="794"/>
      <c r="N30" s="795"/>
      <c r="O30" s="796"/>
    </row>
    <row r="31" spans="2:18" ht="15" customHeight="1">
      <c r="B31" s="546" t="s">
        <v>618</v>
      </c>
      <c r="C31" s="547" t="s">
        <v>619</v>
      </c>
      <c r="D31" s="548">
        <v>76608</v>
      </c>
      <c r="E31" s="549">
        <v>422541.88500000001</v>
      </c>
      <c r="F31" s="550">
        <f t="shared" si="4"/>
        <v>499149.88500000001</v>
      </c>
      <c r="G31" s="548">
        <v>56798.296110000003</v>
      </c>
      <c r="H31" s="549">
        <v>420488.73200000002</v>
      </c>
      <c r="I31" s="550">
        <f t="shared" si="5"/>
        <v>477287.02811000001</v>
      </c>
      <c r="J31" s="548">
        <v>6125.9346999999998</v>
      </c>
      <c r="K31" s="549">
        <v>20636.782039999998</v>
      </c>
      <c r="L31" s="550">
        <f t="shared" si="6"/>
        <v>26762.716739999996</v>
      </c>
      <c r="M31" s="794">
        <f t="shared" si="7"/>
        <v>0.10785419844524979</v>
      </c>
      <c r="N31" s="795">
        <f t="shared" si="7"/>
        <v>4.9078085735719541E-2</v>
      </c>
      <c r="O31" s="796">
        <f t="shared" si="8"/>
        <v>5.6072583505940188E-2</v>
      </c>
    </row>
    <row r="32" spans="2:18" ht="15" customHeight="1">
      <c r="B32" s="568"/>
      <c r="C32" s="558" t="s">
        <v>611</v>
      </c>
      <c r="D32" s="559">
        <f>SUM(D30:D31)</f>
        <v>76608</v>
      </c>
      <c r="E32" s="560">
        <f>SUM(E30:E31)</f>
        <v>422541.88500000001</v>
      </c>
      <c r="F32" s="561">
        <f t="shared" si="4"/>
        <v>499149.88500000001</v>
      </c>
      <c r="G32" s="559">
        <f>SUM(G30:G31)</f>
        <v>56798.296110000003</v>
      </c>
      <c r="H32" s="560">
        <f>SUM(H30:H31)</f>
        <v>420488.73200000002</v>
      </c>
      <c r="I32" s="561">
        <f t="shared" si="5"/>
        <v>477287.02811000001</v>
      </c>
      <c r="J32" s="559">
        <f>SUM(J30:J31)</f>
        <v>6125.9346999999998</v>
      </c>
      <c r="K32" s="560">
        <f>SUM(K30:K31)</f>
        <v>21504.278839999999</v>
      </c>
      <c r="L32" s="561">
        <f t="shared" si="6"/>
        <v>27630.213539999997</v>
      </c>
      <c r="M32" s="800">
        <f t="shared" si="7"/>
        <v>0.10785419844524979</v>
      </c>
      <c r="N32" s="801">
        <f t="shared" si="7"/>
        <v>5.1141153623113014E-2</v>
      </c>
      <c r="O32" s="802">
        <f t="shared" si="8"/>
        <v>5.7890141388112645E-2</v>
      </c>
    </row>
    <row r="33" spans="2:22" s="506" customFormat="1" ht="21" customHeight="1" thickBot="1">
      <c r="B33" s="659"/>
      <c r="C33" s="662" t="s">
        <v>594</v>
      </c>
      <c r="D33" s="663">
        <f>D32+D29</f>
        <v>76608</v>
      </c>
      <c r="E33" s="664">
        <f>E32+E29</f>
        <v>422541.88500000001</v>
      </c>
      <c r="F33" s="665">
        <f t="shared" si="4"/>
        <v>499149.88500000001</v>
      </c>
      <c r="G33" s="663">
        <f>G32+G29</f>
        <v>72860.065050000005</v>
      </c>
      <c r="H33" s="664">
        <f>H32+H29</f>
        <v>430060.03899999999</v>
      </c>
      <c r="I33" s="665">
        <f t="shared" si="5"/>
        <v>502920.10404999997</v>
      </c>
      <c r="J33" s="663">
        <f>J32+J29</f>
        <v>6342.1849400000001</v>
      </c>
      <c r="K33" s="664">
        <f>K32+K29</f>
        <v>22417.86822</v>
      </c>
      <c r="L33" s="665">
        <f t="shared" si="6"/>
        <v>28760.053159999999</v>
      </c>
      <c r="M33" s="809">
        <f t="shared" si="7"/>
        <v>8.7046105924386621E-2</v>
      </c>
      <c r="N33" s="810">
        <f t="shared" si="7"/>
        <v>5.2127298951391302E-2</v>
      </c>
      <c r="O33" s="811">
        <f t="shared" si="8"/>
        <v>5.7186127435344472E-2</v>
      </c>
    </row>
    <row r="34" spans="2:22" s="506" customFormat="1" ht="22.5" customHeight="1" thickBot="1">
      <c r="B34" s="1495" t="s">
        <v>620</v>
      </c>
      <c r="C34" s="1496"/>
      <c r="D34" s="822">
        <f>D33+D25+D14</f>
        <v>202920.155</v>
      </c>
      <c r="E34" s="822">
        <f>E33+E25+E14</f>
        <v>610267.17099999997</v>
      </c>
      <c r="F34" s="822">
        <f t="shared" si="4"/>
        <v>813187.326</v>
      </c>
      <c r="G34" s="822">
        <f>G33+G25+G14</f>
        <v>218093.52000000002</v>
      </c>
      <c r="H34" s="822">
        <f>H33+H25+H14</f>
        <v>4212266.6409999998</v>
      </c>
      <c r="I34" s="822">
        <f t="shared" si="5"/>
        <v>4430360.1610000003</v>
      </c>
      <c r="J34" s="822">
        <f>J33+J25+J14</f>
        <v>959886.32368999976</v>
      </c>
      <c r="K34" s="822">
        <f>K33+K25+K14</f>
        <v>5470120.6211799998</v>
      </c>
      <c r="L34" s="822">
        <f t="shared" si="6"/>
        <v>6430006.9448699998</v>
      </c>
      <c r="M34" s="668">
        <f>J34/G34</f>
        <v>4.4012601735714094</v>
      </c>
      <c r="N34" s="669">
        <f>K34/H34</f>
        <v>1.298616893796966</v>
      </c>
      <c r="O34" s="670">
        <f>L34/I34</f>
        <v>1.4513508408351723</v>
      </c>
    </row>
    <row r="35" spans="2:22" ht="6.75" customHeight="1">
      <c r="B35" s="576"/>
      <c r="C35" s="576"/>
      <c r="D35" s="577"/>
      <c r="E35" s="578"/>
      <c r="F35" s="579"/>
      <c r="G35" s="578"/>
      <c r="H35" s="578"/>
      <c r="I35" s="579"/>
      <c r="J35" s="578"/>
      <c r="K35" s="578"/>
      <c r="L35" s="579"/>
      <c r="M35" s="577"/>
      <c r="N35" s="577"/>
      <c r="O35" s="577"/>
    </row>
    <row r="36" spans="2:22" ht="15.75" customHeight="1" thickBot="1">
      <c r="B36" s="18"/>
      <c r="C36" s="580"/>
      <c r="D36" s="581"/>
      <c r="E36" s="581"/>
      <c r="F36" s="581"/>
      <c r="G36" s="581"/>
      <c r="H36" s="581"/>
      <c r="I36" s="581"/>
      <c r="J36" s="581"/>
      <c r="K36" s="581"/>
      <c r="L36" s="672" t="s">
        <v>0</v>
      </c>
      <c r="M36" s="582"/>
      <c r="N36" s="582"/>
      <c r="O36" s="582"/>
    </row>
    <row r="37" spans="2:22" s="747" customFormat="1" ht="24" customHeight="1" thickBot="1">
      <c r="B37" s="1472" t="s">
        <v>582</v>
      </c>
      <c r="C37" s="1473"/>
      <c r="D37" s="1478" t="s">
        <v>621</v>
      </c>
      <c r="E37" s="1479"/>
      <c r="F37" s="1479"/>
      <c r="G37" s="1479"/>
      <c r="H37" s="1479"/>
      <c r="I37" s="1479"/>
      <c r="J37" s="1479"/>
      <c r="K37" s="1479"/>
      <c r="L37" s="1480"/>
      <c r="M37" s="1497"/>
      <c r="N37" s="1497"/>
      <c r="O37" s="1497"/>
      <c r="P37" s="1497"/>
      <c r="Q37" s="1497"/>
      <c r="R37" s="1497"/>
      <c r="S37" s="818"/>
    </row>
    <row r="38" spans="2:22" s="747" customFormat="1" ht="29.25" customHeight="1" thickBot="1">
      <c r="B38" s="1474"/>
      <c r="C38" s="1475"/>
      <c r="D38" s="1478" t="s">
        <v>622</v>
      </c>
      <c r="E38" s="1479"/>
      <c r="F38" s="1480"/>
      <c r="G38" s="1478" t="s">
        <v>623</v>
      </c>
      <c r="H38" s="1479"/>
      <c r="I38" s="1480"/>
      <c r="J38" s="1498" t="s">
        <v>624</v>
      </c>
      <c r="K38" s="1499"/>
      <c r="L38" s="1500"/>
      <c r="M38" s="1501"/>
      <c r="N38" s="1501"/>
      <c r="O38" s="1501"/>
      <c r="P38" s="1502"/>
      <c r="Q38" s="1502"/>
      <c r="R38" s="1502"/>
      <c r="S38" s="818"/>
    </row>
    <row r="39" spans="2:22" s="747" customFormat="1" ht="49.5" customHeight="1" thickBot="1">
      <c r="B39" s="1476"/>
      <c r="C39" s="1477"/>
      <c r="D39" s="758" t="s">
        <v>585</v>
      </c>
      <c r="E39" s="819" t="s">
        <v>586</v>
      </c>
      <c r="F39" s="752" t="s">
        <v>17</v>
      </c>
      <c r="G39" s="758" t="s">
        <v>585</v>
      </c>
      <c r="H39" s="819" t="s">
        <v>586</v>
      </c>
      <c r="I39" s="752" t="s">
        <v>17</v>
      </c>
      <c r="J39" s="813" t="s">
        <v>585</v>
      </c>
      <c r="K39" s="814" t="s">
        <v>586</v>
      </c>
      <c r="L39" s="815" t="s">
        <v>17</v>
      </c>
      <c r="M39" s="820"/>
      <c r="N39" s="820"/>
      <c r="O39" s="820"/>
      <c r="P39" s="820"/>
      <c r="Q39" s="820"/>
      <c r="R39" s="820"/>
      <c r="S39" s="818"/>
    </row>
    <row r="40" spans="2:22" ht="21" customHeight="1" thickBot="1">
      <c r="B40" s="584" t="s">
        <v>587</v>
      </c>
      <c r="C40" s="513" t="s">
        <v>588</v>
      </c>
      <c r="D40" s="514">
        <v>13</v>
      </c>
      <c r="E40" s="515">
        <v>14</v>
      </c>
      <c r="F40" s="516">
        <v>15</v>
      </c>
      <c r="G40" s="514">
        <v>16</v>
      </c>
      <c r="H40" s="585">
        <v>17</v>
      </c>
      <c r="I40" s="516">
        <v>18</v>
      </c>
      <c r="J40" s="586">
        <v>19</v>
      </c>
      <c r="K40" s="587">
        <v>20</v>
      </c>
      <c r="L40" s="588">
        <v>21</v>
      </c>
      <c r="M40" s="589"/>
      <c r="N40" s="589"/>
      <c r="O40" s="589"/>
      <c r="P40" s="590"/>
      <c r="Q40" s="590"/>
      <c r="R40" s="590"/>
    </row>
    <row r="41" spans="2:22" ht="15" customHeight="1" thickBot="1">
      <c r="B41" s="1503" t="s">
        <v>592</v>
      </c>
      <c r="C41" s="1504"/>
      <c r="D41" s="1504"/>
      <c r="E41" s="1504"/>
      <c r="F41" s="1504"/>
      <c r="G41" s="1504"/>
      <c r="H41" s="1504"/>
      <c r="I41" s="1504"/>
      <c r="J41" s="1504"/>
      <c r="K41" s="1504"/>
      <c r="L41" s="1504"/>
      <c r="M41" s="1504"/>
      <c r="N41" s="1504"/>
      <c r="O41" s="1504"/>
      <c r="P41" s="1504"/>
      <c r="Q41" s="1504"/>
      <c r="R41" s="1504"/>
    </row>
    <row r="42" spans="2:22" ht="15" customHeight="1">
      <c r="B42" s="591"/>
      <c r="C42" s="592" t="s">
        <v>593</v>
      </c>
      <c r="D42" s="593"/>
      <c r="E42" s="594"/>
      <c r="F42" s="594"/>
      <c r="G42" s="594"/>
      <c r="H42" s="594"/>
      <c r="I42" s="595"/>
      <c r="J42" s="596"/>
      <c r="K42" s="594"/>
      <c r="L42" s="595"/>
      <c r="M42" s="597"/>
      <c r="N42" s="597"/>
      <c r="O42" s="597"/>
      <c r="P42" s="597"/>
      <c r="Q42" s="597"/>
      <c r="R42" s="597"/>
    </row>
    <row r="43" spans="2:22" ht="15" customHeight="1" thickBot="1">
      <c r="B43" s="530"/>
      <c r="C43" s="531" t="s">
        <v>594</v>
      </c>
      <c r="D43" s="532"/>
      <c r="E43" s="533"/>
      <c r="F43" s="533">
        <f>SUM(D43:E43)</f>
        <v>0</v>
      </c>
      <c r="G43" s="533"/>
      <c r="H43" s="533"/>
      <c r="I43" s="534">
        <f>SUM(G43:H43)</f>
        <v>0</v>
      </c>
      <c r="J43" s="598"/>
      <c r="K43" s="533"/>
      <c r="L43" s="534">
        <f>SUM(J43:K43)</f>
        <v>0</v>
      </c>
      <c r="M43" s="599"/>
      <c r="N43" s="599"/>
      <c r="O43" s="599"/>
      <c r="P43" s="599"/>
      <c r="Q43" s="599"/>
      <c r="R43" s="599"/>
    </row>
    <row r="44" spans="2:22" s="506" customFormat="1" ht="15" customHeight="1" thickBot="1">
      <c r="B44" s="1486" t="s">
        <v>595</v>
      </c>
      <c r="C44" s="1487"/>
      <c r="D44" s="1487"/>
      <c r="E44" s="1487"/>
      <c r="F44" s="1487"/>
      <c r="G44" s="1487"/>
      <c r="H44" s="1487"/>
      <c r="I44" s="1487"/>
      <c r="J44" s="1487"/>
      <c r="K44" s="1487"/>
      <c r="L44" s="1487"/>
      <c r="M44" s="1488"/>
      <c r="N44" s="1488"/>
      <c r="O44" s="1488"/>
      <c r="P44" s="1488"/>
      <c r="Q44" s="1488"/>
      <c r="R44" s="1488"/>
    </row>
    <row r="45" spans="2:22" ht="15" customHeight="1">
      <c r="B45" s="573" t="s">
        <v>596</v>
      </c>
      <c r="C45" s="540" t="s">
        <v>597</v>
      </c>
      <c r="D45" s="541">
        <v>792298.80316999997</v>
      </c>
      <c r="E45" s="542">
        <v>1888227.5712900001</v>
      </c>
      <c r="F45" s="543">
        <f t="shared" ref="F45:F53" si="9">SUM(D45:E45)</f>
        <v>2680526.3744600001</v>
      </c>
      <c r="G45" s="541">
        <v>761524.93293999997</v>
      </c>
      <c r="H45" s="542">
        <v>1348972.5682399999</v>
      </c>
      <c r="I45" s="543">
        <f t="shared" ref="I45:I53" si="10">SUM(G45:H45)</f>
        <v>2110497.5011799997</v>
      </c>
      <c r="J45" s="600">
        <v>5350.5759500000004</v>
      </c>
      <c r="K45" s="601">
        <v>348222.54371</v>
      </c>
      <c r="L45" s="543">
        <f t="shared" ref="L45:L53" si="11">SUM(J45:K45)</f>
        <v>353573.11966000003</v>
      </c>
      <c r="M45" s="602"/>
      <c r="N45" s="602"/>
      <c r="O45" s="602"/>
      <c r="P45" s="602"/>
      <c r="Q45" s="602"/>
      <c r="R45" s="602"/>
      <c r="S45" s="18"/>
    </row>
    <row r="46" spans="2:22" ht="15" customHeight="1">
      <c r="B46" s="546" t="s">
        <v>598</v>
      </c>
      <c r="C46" s="547" t="s">
        <v>599</v>
      </c>
      <c r="D46" s="548">
        <v>20385.704379999999</v>
      </c>
      <c r="E46" s="549">
        <v>96334.037559999997</v>
      </c>
      <c r="F46" s="550">
        <f t="shared" si="9"/>
        <v>116719.74193999999</v>
      </c>
      <c r="G46" s="548">
        <v>14918.497219999999</v>
      </c>
      <c r="H46" s="549">
        <v>46000.430390000001</v>
      </c>
      <c r="I46" s="550">
        <f t="shared" si="10"/>
        <v>60918.927609999999</v>
      </c>
      <c r="J46" s="603">
        <v>545.23234000000002</v>
      </c>
      <c r="K46" s="549">
        <v>7488.6681399999998</v>
      </c>
      <c r="L46" s="550">
        <f t="shared" si="11"/>
        <v>8033.9004800000002</v>
      </c>
      <c r="M46" s="602"/>
      <c r="N46" s="602"/>
      <c r="O46" s="602"/>
      <c r="P46" s="602"/>
      <c r="Q46" s="602"/>
      <c r="R46" s="602"/>
      <c r="S46" s="18"/>
    </row>
    <row r="47" spans="2:22" ht="15" customHeight="1">
      <c r="B47" s="546" t="s">
        <v>600</v>
      </c>
      <c r="C47" s="547" t="s">
        <v>601</v>
      </c>
      <c r="D47" s="548">
        <v>153.90485000000001</v>
      </c>
      <c r="E47" s="549">
        <v>862.38595999999995</v>
      </c>
      <c r="F47" s="550">
        <f t="shared" si="9"/>
        <v>1016.29081</v>
      </c>
      <c r="G47" s="548">
        <v>93.198239999999998</v>
      </c>
      <c r="H47" s="549">
        <v>528.10110999999995</v>
      </c>
      <c r="I47" s="550">
        <f t="shared" si="10"/>
        <v>621.29935</v>
      </c>
      <c r="J47" s="603">
        <v>17.434449999999998</v>
      </c>
      <c r="K47" s="549">
        <v>101.14628999999999</v>
      </c>
      <c r="L47" s="550">
        <f t="shared" si="11"/>
        <v>118.58073999999999</v>
      </c>
      <c r="M47" s="602"/>
      <c r="N47" s="602"/>
      <c r="O47" s="602"/>
      <c r="P47" s="602"/>
      <c r="Q47" s="602"/>
      <c r="R47" s="602"/>
      <c r="S47" s="18"/>
    </row>
    <row r="48" spans="2:22" ht="15" customHeight="1">
      <c r="B48" s="551" t="s">
        <v>604</v>
      </c>
      <c r="C48" s="552" t="s">
        <v>605</v>
      </c>
      <c r="D48" s="553">
        <v>203633.85748999999</v>
      </c>
      <c r="E48" s="554">
        <v>368996.91155999998</v>
      </c>
      <c r="F48" s="555">
        <f t="shared" si="9"/>
        <v>572630.76905</v>
      </c>
      <c r="G48" s="553">
        <v>19449.457719999999</v>
      </c>
      <c r="H48" s="554">
        <v>193977.43958999999</v>
      </c>
      <c r="I48" s="555">
        <f t="shared" si="10"/>
        <v>213426.89731</v>
      </c>
      <c r="J48" s="604">
        <v>183892.3768</v>
      </c>
      <c r="K48" s="554">
        <v>176944.57023000001</v>
      </c>
      <c r="L48" s="555">
        <f t="shared" si="11"/>
        <v>360836.94703000004</v>
      </c>
      <c r="M48" s="602"/>
      <c r="N48" s="602"/>
      <c r="O48" s="602"/>
      <c r="P48" s="602"/>
      <c r="Q48" s="602"/>
      <c r="R48" s="602"/>
      <c r="S48" s="605"/>
      <c r="V48" s="556"/>
    </row>
    <row r="49" spans="2:19" ht="15" customHeight="1">
      <c r="B49" s="557"/>
      <c r="C49" s="558" t="s">
        <v>606</v>
      </c>
      <c r="D49" s="559">
        <f>SUM(D45:D48)</f>
        <v>1016472.26989</v>
      </c>
      <c r="E49" s="560">
        <f>SUM(E45:E48)</f>
        <v>2354420.9063700004</v>
      </c>
      <c r="F49" s="561">
        <f t="shared" si="9"/>
        <v>3370893.1762600006</v>
      </c>
      <c r="G49" s="559">
        <f>SUM(G45:G48)</f>
        <v>795986.08611999999</v>
      </c>
      <c r="H49" s="560">
        <f>SUM(H45:H48)</f>
        <v>1589478.5393300001</v>
      </c>
      <c r="I49" s="561">
        <f t="shared" si="10"/>
        <v>2385464.6254500002</v>
      </c>
      <c r="J49" s="606">
        <f>SUM(J45:J48)</f>
        <v>189805.61953999999</v>
      </c>
      <c r="K49" s="560">
        <f>SUM(K45:K48)</f>
        <v>532756.9283700001</v>
      </c>
      <c r="L49" s="561">
        <f t="shared" si="11"/>
        <v>722562.54791000008</v>
      </c>
      <c r="M49" s="607"/>
      <c r="N49" s="607"/>
      <c r="O49" s="607"/>
      <c r="P49" s="607"/>
      <c r="Q49" s="607"/>
      <c r="R49" s="607"/>
      <c r="S49" s="18"/>
    </row>
    <row r="50" spans="2:19" ht="15" customHeight="1">
      <c r="B50" s="563" t="s">
        <v>607</v>
      </c>
      <c r="C50" s="564" t="s">
        <v>608</v>
      </c>
      <c r="D50" s="565">
        <v>22382.76584</v>
      </c>
      <c r="E50" s="566">
        <v>392699.61735999997</v>
      </c>
      <c r="F50" s="567">
        <f t="shared" si="9"/>
        <v>415082.38319999998</v>
      </c>
      <c r="G50" s="565">
        <v>13309.088089999999</v>
      </c>
      <c r="H50" s="566">
        <v>121959.52051</v>
      </c>
      <c r="I50" s="567">
        <f t="shared" si="10"/>
        <v>135268.60860000001</v>
      </c>
      <c r="J50" s="608">
        <v>8755.0086499999998</v>
      </c>
      <c r="K50" s="566">
        <v>105773.04347</v>
      </c>
      <c r="L50" s="567">
        <f t="shared" si="11"/>
        <v>114528.05212000001</v>
      </c>
      <c r="M50" s="609"/>
      <c r="N50" s="609"/>
      <c r="O50" s="609"/>
      <c r="P50" s="609"/>
      <c r="Q50" s="609"/>
      <c r="R50" s="609"/>
      <c r="S50" s="18"/>
    </row>
    <row r="51" spans="2:19" ht="15" customHeight="1">
      <c r="B51" s="546" t="s">
        <v>609</v>
      </c>
      <c r="C51" s="547" t="s">
        <v>610</v>
      </c>
      <c r="D51" s="548">
        <v>834.05668000000003</v>
      </c>
      <c r="E51" s="549">
        <v>2596.4893200000001</v>
      </c>
      <c r="F51" s="550">
        <f t="shared" si="9"/>
        <v>3430.5460000000003</v>
      </c>
      <c r="G51" s="548">
        <v>67.964250000000007</v>
      </c>
      <c r="H51" s="549">
        <v>270.81603000000001</v>
      </c>
      <c r="I51" s="550">
        <f t="shared" si="10"/>
        <v>338.78028</v>
      </c>
      <c r="J51" s="603">
        <v>889.21052999999995</v>
      </c>
      <c r="K51" s="549">
        <v>2813.7049499999998</v>
      </c>
      <c r="L51" s="550">
        <f t="shared" si="11"/>
        <v>3702.9154799999997</v>
      </c>
      <c r="M51" s="609"/>
      <c r="N51" s="609"/>
      <c r="O51" s="609"/>
      <c r="P51" s="609"/>
      <c r="Q51" s="609"/>
      <c r="R51" s="609"/>
      <c r="S51" s="18"/>
    </row>
    <row r="52" spans="2:19" ht="15" customHeight="1" thickBot="1">
      <c r="B52" s="675"/>
      <c r="C52" s="569" t="s">
        <v>611</v>
      </c>
      <c r="D52" s="570">
        <f>SUM(D50:D51)</f>
        <v>23216.822520000002</v>
      </c>
      <c r="E52" s="571">
        <f>SUM(E50:E51)</f>
        <v>395296.10667999997</v>
      </c>
      <c r="F52" s="572">
        <f t="shared" si="9"/>
        <v>418512.92919999996</v>
      </c>
      <c r="G52" s="570">
        <f>SUM(G50:G51)</f>
        <v>13377.05234</v>
      </c>
      <c r="H52" s="571">
        <f>SUM(H50:H51)</f>
        <v>122230.33654</v>
      </c>
      <c r="I52" s="572">
        <f t="shared" si="10"/>
        <v>135607.38888000001</v>
      </c>
      <c r="J52" s="610">
        <f>SUM(J50:J51)</f>
        <v>9644.2191800000001</v>
      </c>
      <c r="K52" s="571">
        <f>SUM(K50:K51)</f>
        <v>108586.74842</v>
      </c>
      <c r="L52" s="572">
        <f t="shared" si="11"/>
        <v>118230.9676</v>
      </c>
      <c r="M52" s="607"/>
      <c r="N52" s="607"/>
      <c r="O52" s="607"/>
      <c r="P52" s="607"/>
      <c r="Q52" s="607"/>
      <c r="R52" s="607"/>
      <c r="S52" s="18"/>
    </row>
    <row r="53" spans="2:19" s="828" customFormat="1" ht="20.25" customHeight="1" thickBot="1">
      <c r="B53" s="821"/>
      <c r="C53" s="829" t="s">
        <v>594</v>
      </c>
      <c r="D53" s="822">
        <f>D52+D49</f>
        <v>1039689.09241</v>
      </c>
      <c r="E53" s="823">
        <f>E52+E49</f>
        <v>2749717.0130500002</v>
      </c>
      <c r="F53" s="824">
        <f t="shared" si="9"/>
        <v>3789406.1054600002</v>
      </c>
      <c r="G53" s="822">
        <f>G52+G49</f>
        <v>809363.13846000005</v>
      </c>
      <c r="H53" s="823">
        <f>H52+H49</f>
        <v>1711708.8758700001</v>
      </c>
      <c r="I53" s="824">
        <f t="shared" si="10"/>
        <v>2521072.0143300002</v>
      </c>
      <c r="J53" s="825">
        <f>J52+J49</f>
        <v>199449.83872</v>
      </c>
      <c r="K53" s="823">
        <f>K52+K49</f>
        <v>641343.67679000006</v>
      </c>
      <c r="L53" s="824">
        <f t="shared" si="11"/>
        <v>840793.51551000006</v>
      </c>
      <c r="M53" s="826"/>
      <c r="N53" s="826"/>
      <c r="O53" s="826"/>
      <c r="P53" s="826"/>
      <c r="Q53" s="826"/>
      <c r="R53" s="826"/>
      <c r="S53" s="827"/>
    </row>
    <row r="54" spans="2:19" s="506" customFormat="1" ht="15" customHeight="1" thickBot="1">
      <c r="B54" s="1486" t="s">
        <v>612</v>
      </c>
      <c r="C54" s="1487"/>
      <c r="D54" s="1487"/>
      <c r="E54" s="1487"/>
      <c r="F54" s="1487"/>
      <c r="G54" s="1487"/>
      <c r="H54" s="1487"/>
      <c r="I54" s="1487"/>
      <c r="J54" s="1487"/>
      <c r="K54" s="1487"/>
      <c r="L54" s="1487"/>
      <c r="M54" s="1488"/>
      <c r="N54" s="1488"/>
      <c r="O54" s="1488"/>
      <c r="P54" s="1488"/>
      <c r="Q54" s="1488"/>
      <c r="R54" s="1488"/>
    </row>
    <row r="55" spans="2:19" ht="15" customHeight="1">
      <c r="B55" s="573" t="s">
        <v>625</v>
      </c>
      <c r="C55" s="540" t="s">
        <v>613</v>
      </c>
      <c r="D55" s="611">
        <v>0</v>
      </c>
      <c r="E55" s="612">
        <v>0</v>
      </c>
      <c r="F55" s="613">
        <f t="shared" ref="F55:F62" si="12">SUM(D55:E55)</f>
        <v>0</v>
      </c>
      <c r="G55" s="611">
        <v>0</v>
      </c>
      <c r="H55" s="612">
        <v>0</v>
      </c>
      <c r="I55" s="613">
        <f t="shared" ref="I55:I62" si="13">SUM(G55:H55)</f>
        <v>0</v>
      </c>
      <c r="J55" s="614">
        <v>13796.185939999999</v>
      </c>
      <c r="K55" s="615">
        <v>0</v>
      </c>
      <c r="L55" s="613">
        <f t="shared" ref="L55:L62" si="14">SUM(J55:K55)</f>
        <v>13796.185939999999</v>
      </c>
      <c r="M55" s="602"/>
      <c r="N55" s="602"/>
      <c r="O55" s="602"/>
      <c r="P55" s="602"/>
      <c r="Q55" s="602"/>
      <c r="R55" s="602"/>
      <c r="S55" s="18"/>
    </row>
    <row r="56" spans="2:19" ht="15" customHeight="1">
      <c r="B56" s="546" t="s">
        <v>614</v>
      </c>
      <c r="C56" s="547" t="s">
        <v>615</v>
      </c>
      <c r="D56" s="548">
        <v>0</v>
      </c>
      <c r="E56" s="549">
        <v>0</v>
      </c>
      <c r="F56" s="550">
        <f t="shared" si="12"/>
        <v>0</v>
      </c>
      <c r="G56" s="548">
        <v>0</v>
      </c>
      <c r="H56" s="549">
        <v>0</v>
      </c>
      <c r="I56" s="550">
        <f t="shared" si="13"/>
        <v>0</v>
      </c>
      <c r="J56" s="603">
        <v>2049.3327599999998</v>
      </c>
      <c r="K56" s="549">
        <v>8657.7176199999994</v>
      </c>
      <c r="L56" s="550">
        <f t="shared" si="14"/>
        <v>10707.050379999999</v>
      </c>
      <c r="M56" s="602"/>
      <c r="N56" s="602"/>
      <c r="O56" s="602"/>
      <c r="P56" s="602"/>
      <c r="Q56" s="602"/>
      <c r="R56" s="602"/>
      <c r="S56" s="605"/>
    </row>
    <row r="57" spans="2:19" ht="15" customHeight="1">
      <c r="B57" s="557"/>
      <c r="C57" s="558" t="s">
        <v>606</v>
      </c>
      <c r="D57" s="559">
        <f>SUM(D55:D56)</f>
        <v>0</v>
      </c>
      <c r="E57" s="560">
        <f>SUM(E55:E56)</f>
        <v>0</v>
      </c>
      <c r="F57" s="561">
        <f t="shared" si="12"/>
        <v>0</v>
      </c>
      <c r="G57" s="559">
        <f>SUM(G55:G56)</f>
        <v>0</v>
      </c>
      <c r="H57" s="560">
        <f>SUM(H55:H56)</f>
        <v>0</v>
      </c>
      <c r="I57" s="561">
        <f t="shared" si="13"/>
        <v>0</v>
      </c>
      <c r="J57" s="606">
        <f>SUM(J55:J56)</f>
        <v>15845.518699999999</v>
      </c>
      <c r="K57" s="560">
        <f>SUM(K55:K56)</f>
        <v>8657.7176199999994</v>
      </c>
      <c r="L57" s="561">
        <f t="shared" si="14"/>
        <v>24503.236319999996</v>
      </c>
      <c r="M57" s="607"/>
      <c r="N57" s="607"/>
      <c r="O57" s="607"/>
      <c r="P57" s="607"/>
      <c r="Q57" s="607"/>
      <c r="R57" s="607"/>
      <c r="S57" s="18"/>
    </row>
    <row r="58" spans="2:19" ht="15" customHeight="1">
      <c r="B58" s="574" t="s">
        <v>616</v>
      </c>
      <c r="C58" s="575" t="s">
        <v>617</v>
      </c>
      <c r="D58" s="565">
        <v>0</v>
      </c>
      <c r="E58" s="566">
        <v>0</v>
      </c>
      <c r="F58" s="567">
        <f t="shared" si="12"/>
        <v>0</v>
      </c>
      <c r="G58" s="565">
        <v>0</v>
      </c>
      <c r="H58" s="566">
        <v>0</v>
      </c>
      <c r="I58" s="567">
        <f t="shared" si="13"/>
        <v>0</v>
      </c>
      <c r="J58" s="608">
        <v>0</v>
      </c>
      <c r="K58" s="566">
        <v>165.79599999999999</v>
      </c>
      <c r="L58" s="567">
        <f t="shared" si="14"/>
        <v>165.79599999999999</v>
      </c>
      <c r="M58" s="609"/>
      <c r="N58" s="609"/>
      <c r="O58" s="609"/>
      <c r="P58" s="609"/>
      <c r="Q58" s="609"/>
      <c r="R58" s="609"/>
      <c r="S58" s="18"/>
    </row>
    <row r="59" spans="2:19" ht="15" customHeight="1">
      <c r="B59" s="546" t="s">
        <v>618</v>
      </c>
      <c r="C59" s="547" t="s">
        <v>619</v>
      </c>
      <c r="D59" s="548">
        <v>0</v>
      </c>
      <c r="E59" s="549">
        <v>0</v>
      </c>
      <c r="F59" s="550">
        <f t="shared" si="12"/>
        <v>0</v>
      </c>
      <c r="G59" s="548">
        <v>0</v>
      </c>
      <c r="H59" s="549">
        <v>0</v>
      </c>
      <c r="I59" s="550">
        <f t="shared" si="13"/>
        <v>0</v>
      </c>
      <c r="J59" s="603">
        <v>50672.361409999998</v>
      </c>
      <c r="K59" s="549">
        <v>399851.94996</v>
      </c>
      <c r="L59" s="550">
        <f t="shared" si="14"/>
        <v>450524.31137000001</v>
      </c>
      <c r="M59" s="609"/>
      <c r="N59" s="609"/>
      <c r="O59" s="609"/>
      <c r="P59" s="609"/>
      <c r="Q59" s="609"/>
      <c r="R59" s="609"/>
      <c r="S59" s="605"/>
    </row>
    <row r="60" spans="2:19" ht="15" customHeight="1">
      <c r="B60" s="568"/>
      <c r="C60" s="558" t="s">
        <v>611</v>
      </c>
      <c r="D60" s="559">
        <f>SUM(D58:D59)</f>
        <v>0</v>
      </c>
      <c r="E60" s="560">
        <f>SUM(E58:E59)</f>
        <v>0</v>
      </c>
      <c r="F60" s="561">
        <f t="shared" si="12"/>
        <v>0</v>
      </c>
      <c r="G60" s="559">
        <f>SUM(G58:G59)</f>
        <v>0</v>
      </c>
      <c r="H60" s="560">
        <f>SUM(H58:H59)</f>
        <v>0</v>
      </c>
      <c r="I60" s="561">
        <f t="shared" si="13"/>
        <v>0</v>
      </c>
      <c r="J60" s="606">
        <f>SUM(J58:J59)</f>
        <v>50672.361409999998</v>
      </c>
      <c r="K60" s="560">
        <f>SUM(K58:K59)</f>
        <v>400017.74595999997</v>
      </c>
      <c r="L60" s="561">
        <f t="shared" si="14"/>
        <v>450690.10736999998</v>
      </c>
      <c r="M60" s="607"/>
      <c r="N60" s="607"/>
      <c r="O60" s="607"/>
      <c r="P60" s="607"/>
      <c r="Q60" s="607"/>
      <c r="R60" s="607"/>
      <c r="S60" s="18"/>
    </row>
    <row r="61" spans="2:19" s="506" customFormat="1" ht="20.25" customHeight="1" thickBot="1">
      <c r="B61" s="659"/>
      <c r="C61" s="662" t="s">
        <v>594</v>
      </c>
      <c r="D61" s="663">
        <f>D60+D57</f>
        <v>0</v>
      </c>
      <c r="E61" s="664">
        <f>E60+E57</f>
        <v>0</v>
      </c>
      <c r="F61" s="665">
        <f t="shared" si="12"/>
        <v>0</v>
      </c>
      <c r="G61" s="663">
        <f>G60+G57</f>
        <v>0</v>
      </c>
      <c r="H61" s="664">
        <f>H60+H57</f>
        <v>0</v>
      </c>
      <c r="I61" s="665">
        <f t="shared" si="13"/>
        <v>0</v>
      </c>
      <c r="J61" s="666">
        <f>J60+J57</f>
        <v>66517.880109999998</v>
      </c>
      <c r="K61" s="664">
        <f>K60+K57</f>
        <v>408675.46357999998</v>
      </c>
      <c r="L61" s="665">
        <f t="shared" si="14"/>
        <v>475193.34369000001</v>
      </c>
      <c r="M61" s="660"/>
      <c r="N61" s="660"/>
      <c r="O61" s="660"/>
      <c r="P61" s="660"/>
      <c r="Q61" s="660"/>
      <c r="R61" s="660"/>
      <c r="S61" s="648"/>
    </row>
    <row r="62" spans="2:19" s="506" customFormat="1" ht="22.5" customHeight="1" thickBot="1">
      <c r="B62" s="1495" t="s">
        <v>620</v>
      </c>
      <c r="C62" s="1496"/>
      <c r="D62" s="822">
        <f>D61+D53+D43</f>
        <v>1039689.09241</v>
      </c>
      <c r="E62" s="822">
        <f>E61+E53+E43</f>
        <v>2749717.0130500002</v>
      </c>
      <c r="F62" s="822">
        <f t="shared" si="12"/>
        <v>3789406.1054600002</v>
      </c>
      <c r="G62" s="822">
        <f>G61+G53+G43</f>
        <v>809363.13846000005</v>
      </c>
      <c r="H62" s="822">
        <f>H61+H53+H43</f>
        <v>1711708.8758700001</v>
      </c>
      <c r="I62" s="822">
        <f t="shared" si="13"/>
        <v>2521072.0143300002</v>
      </c>
      <c r="J62" s="822">
        <f>J61+J53+J43</f>
        <v>265967.71883000003</v>
      </c>
      <c r="K62" s="822">
        <f>K61+K53+K43</f>
        <v>1050019.1403700002</v>
      </c>
      <c r="L62" s="822">
        <f t="shared" si="14"/>
        <v>1315986.8592000003</v>
      </c>
      <c r="M62" s="667"/>
      <c r="N62" s="667"/>
      <c r="O62" s="667"/>
      <c r="P62" s="667"/>
      <c r="Q62" s="667"/>
      <c r="R62" s="667"/>
      <c r="S62" s="648"/>
    </row>
    <row r="63" spans="2:19" ht="15.75" customHeight="1">
      <c r="E63" s="562"/>
      <c r="F63" s="616"/>
      <c r="H63" s="562"/>
      <c r="I63" s="616"/>
      <c r="K63" s="562"/>
      <c r="L63" s="616"/>
      <c r="M63" s="18"/>
      <c r="N63" s="617"/>
      <c r="O63" s="618"/>
      <c r="P63" s="18"/>
      <c r="Q63" s="617"/>
      <c r="R63" s="618"/>
      <c r="S63" s="18"/>
    </row>
    <row r="64" spans="2:19" s="651" customFormat="1" ht="15" customHeight="1">
      <c r="B64" s="657" t="s">
        <v>632</v>
      </c>
      <c r="C64" s="657"/>
      <c r="H64" s="651" t="s">
        <v>633</v>
      </c>
      <c r="K64" s="1505" t="s">
        <v>215</v>
      </c>
      <c r="L64" s="1505"/>
    </row>
    <row r="65" spans="2:19" ht="16.5" customHeight="1"/>
    <row r="66" spans="2:19" ht="47.25" customHeight="1"/>
    <row r="67" spans="2:19" s="653" customFormat="1" ht="20.100000000000001" customHeight="1">
      <c r="B67" s="653" t="s">
        <v>634</v>
      </c>
      <c r="C67" s="655"/>
      <c r="D67" s="654"/>
      <c r="E67" s="654"/>
      <c r="F67" s="654"/>
      <c r="G67" s="654"/>
      <c r="H67" s="654"/>
      <c r="I67" s="654"/>
      <c r="J67" s="654"/>
      <c r="K67" s="654"/>
      <c r="N67" s="793" t="s">
        <v>657</v>
      </c>
      <c r="O67" s="656"/>
    </row>
    <row r="68" spans="2:19" s="653" customFormat="1" ht="18" customHeight="1">
      <c r="C68" s="655"/>
      <c r="D68" s="654"/>
      <c r="E68" s="654"/>
      <c r="F68" s="654"/>
      <c r="G68" s="654"/>
      <c r="H68" s="654"/>
      <c r="I68" s="654"/>
      <c r="J68" s="654"/>
      <c r="K68" s="654"/>
      <c r="N68" s="655" t="s">
        <v>658</v>
      </c>
      <c r="O68" s="654"/>
    </row>
    <row r="69" spans="2:19" s="653" customFormat="1" ht="63" customHeight="1">
      <c r="C69" s="1469" t="s">
        <v>626</v>
      </c>
      <c r="D69" s="1469"/>
      <c r="E69" s="1469"/>
      <c r="F69" s="1469"/>
      <c r="G69" s="1469"/>
      <c r="H69" s="1469"/>
      <c r="I69" s="1469"/>
      <c r="J69" s="1469"/>
      <c r="K69" s="1469"/>
      <c r="L69" s="1469"/>
      <c r="M69" s="1469"/>
      <c r="N69" s="1469"/>
    </row>
    <row r="70" spans="2:19" ht="42.75" customHeight="1" thickBot="1">
      <c r="C70" s="507"/>
      <c r="D70" s="507"/>
      <c r="E70" s="507"/>
      <c r="F70" s="507"/>
      <c r="G70" s="507"/>
      <c r="H70" s="507"/>
      <c r="I70" s="507"/>
      <c r="J70" s="507"/>
      <c r="K70" s="507"/>
      <c r="L70" s="507"/>
      <c r="M70" s="507"/>
      <c r="N70" s="507"/>
      <c r="O70" s="673" t="s">
        <v>0</v>
      </c>
    </row>
    <row r="71" spans="2:19" s="747" customFormat="1" ht="21" customHeight="1" thickBot="1">
      <c r="B71" s="1472" t="s">
        <v>627</v>
      </c>
      <c r="C71" s="1473"/>
      <c r="D71" s="1478" t="s">
        <v>583</v>
      </c>
      <c r="E71" s="1479"/>
      <c r="F71" s="1479"/>
      <c r="G71" s="1479"/>
      <c r="H71" s="1479"/>
      <c r="I71" s="1480"/>
      <c r="J71" s="1472" t="s">
        <v>584</v>
      </c>
      <c r="K71" s="1481"/>
      <c r="L71" s="1482"/>
      <c r="M71" s="1472" t="s">
        <v>5</v>
      </c>
      <c r="N71" s="1481"/>
      <c r="O71" s="1482"/>
    </row>
    <row r="72" spans="2:19" s="747" customFormat="1" ht="21" customHeight="1" thickBot="1">
      <c r="B72" s="1474"/>
      <c r="C72" s="1475"/>
      <c r="D72" s="1478" t="s">
        <v>1</v>
      </c>
      <c r="E72" s="1479"/>
      <c r="F72" s="1480"/>
      <c r="G72" s="1478" t="s">
        <v>2</v>
      </c>
      <c r="H72" s="1479"/>
      <c r="I72" s="1480"/>
      <c r="J72" s="1483"/>
      <c r="K72" s="1484"/>
      <c r="L72" s="1485"/>
      <c r="M72" s="1483"/>
      <c r="N72" s="1484"/>
      <c r="O72" s="1485"/>
    </row>
    <row r="73" spans="2:19" s="747" customFormat="1" ht="67.5" customHeight="1" thickBot="1">
      <c r="B73" s="1476"/>
      <c r="C73" s="1477"/>
      <c r="D73" s="758" t="s">
        <v>585</v>
      </c>
      <c r="E73" s="819" t="s">
        <v>628</v>
      </c>
      <c r="F73" s="752" t="s">
        <v>17</v>
      </c>
      <c r="G73" s="758" t="s">
        <v>585</v>
      </c>
      <c r="H73" s="819" t="s">
        <v>628</v>
      </c>
      <c r="I73" s="752" t="s">
        <v>17</v>
      </c>
      <c r="J73" s="758" t="s">
        <v>585</v>
      </c>
      <c r="K73" s="819" t="s">
        <v>628</v>
      </c>
      <c r="L73" s="752" t="s">
        <v>17</v>
      </c>
      <c r="M73" s="758" t="s">
        <v>585</v>
      </c>
      <c r="N73" s="817" t="s">
        <v>628</v>
      </c>
      <c r="O73" s="752" t="s">
        <v>17</v>
      </c>
    </row>
    <row r="74" spans="2:19" ht="21" customHeight="1">
      <c r="B74" s="619" t="s">
        <v>587</v>
      </c>
      <c r="C74" s="620" t="s">
        <v>588</v>
      </c>
      <c r="D74" s="621">
        <v>1</v>
      </c>
      <c r="E74" s="622">
        <v>2</v>
      </c>
      <c r="F74" s="623">
        <v>3</v>
      </c>
      <c r="G74" s="621">
        <v>4</v>
      </c>
      <c r="H74" s="622">
        <v>5</v>
      </c>
      <c r="I74" s="623">
        <v>6</v>
      </c>
      <c r="J74" s="621">
        <v>7</v>
      </c>
      <c r="K74" s="622">
        <v>8</v>
      </c>
      <c r="L74" s="623">
        <v>9</v>
      </c>
      <c r="M74" s="621" t="s">
        <v>589</v>
      </c>
      <c r="N74" s="624" t="s">
        <v>590</v>
      </c>
      <c r="O74" s="623" t="s">
        <v>591</v>
      </c>
    </row>
    <row r="75" spans="2:19" ht="21" customHeight="1">
      <c r="B75" s="625">
        <v>6002</v>
      </c>
      <c r="C75" s="626" t="s">
        <v>629</v>
      </c>
      <c r="D75" s="608">
        <v>4890.1130000000003</v>
      </c>
      <c r="E75" s="566">
        <v>28314.561000000002</v>
      </c>
      <c r="F75" s="567">
        <f>SUM(D75:E75)</f>
        <v>33204.673999999999</v>
      </c>
      <c r="G75" s="608">
        <v>4890.1130000000003</v>
      </c>
      <c r="H75" s="566">
        <v>28314.561000000002</v>
      </c>
      <c r="I75" s="567">
        <f>SUM(G75:H75)</f>
        <v>33204.673999999999</v>
      </c>
      <c r="J75" s="608">
        <v>7070.6942499999996</v>
      </c>
      <c r="K75" s="566">
        <v>40360.02996</v>
      </c>
      <c r="L75" s="567">
        <f>SUM(J75:K75)</f>
        <v>47430.72421</v>
      </c>
      <c r="M75" s="627">
        <f t="shared" ref="M75:O77" si="15">J75/G75</f>
        <v>1.4459163315857935</v>
      </c>
      <c r="N75" s="544">
        <f t="shared" si="15"/>
        <v>1.4254160592495146</v>
      </c>
      <c r="O75" s="545">
        <f t="shared" si="15"/>
        <v>1.4284351718074391</v>
      </c>
    </row>
    <row r="76" spans="2:19" ht="21" customHeight="1" thickBot="1">
      <c r="B76" s="628" t="s">
        <v>630</v>
      </c>
      <c r="C76" s="547" t="s">
        <v>631</v>
      </c>
      <c r="D76" s="603">
        <v>37927.538999999997</v>
      </c>
      <c r="E76" s="549">
        <v>145384.72500000001</v>
      </c>
      <c r="F76" s="550">
        <f>SUM(D76:E76)</f>
        <v>183312.264</v>
      </c>
      <c r="G76" s="603">
        <v>37927.538999999997</v>
      </c>
      <c r="H76" s="549">
        <v>145384.72500000001</v>
      </c>
      <c r="I76" s="550">
        <f>SUM(G76:H76)</f>
        <v>183312.264</v>
      </c>
      <c r="J76" s="603">
        <v>10163.496499999999</v>
      </c>
      <c r="K76" s="549">
        <v>40750.69932</v>
      </c>
      <c r="L76" s="550">
        <f>SUM(J76:K76)</f>
        <v>50914.195820000001</v>
      </c>
      <c r="M76" s="627">
        <f t="shared" si="15"/>
        <v>0.26797142044992689</v>
      </c>
      <c r="N76" s="544">
        <f t="shared" si="15"/>
        <v>0.28029560409458421</v>
      </c>
      <c r="O76" s="545">
        <f t="shared" si="15"/>
        <v>0.27774571492936229</v>
      </c>
    </row>
    <row r="77" spans="2:19" s="836" customFormat="1" ht="29.25" customHeight="1" thickBot="1">
      <c r="B77" s="831"/>
      <c r="C77" s="832" t="s">
        <v>594</v>
      </c>
      <c r="D77" s="825">
        <f>SUM(D75:D76)</f>
        <v>42817.651999999995</v>
      </c>
      <c r="E77" s="823">
        <f>SUM(E75:E76)</f>
        <v>173699.28600000002</v>
      </c>
      <c r="F77" s="824">
        <f>SUM(D77:E77)</f>
        <v>216516.93800000002</v>
      </c>
      <c r="G77" s="825">
        <f>SUM(G75:G76)</f>
        <v>42817.651999999995</v>
      </c>
      <c r="H77" s="823">
        <f>SUM(H75:H76)</f>
        <v>173699.28600000002</v>
      </c>
      <c r="I77" s="824">
        <f>SUM(G77:H77)</f>
        <v>216516.93800000002</v>
      </c>
      <c r="J77" s="825">
        <f>SUM(J75:J76)</f>
        <v>17234.190749999998</v>
      </c>
      <c r="K77" s="823">
        <f>SUM(K75:K76)</f>
        <v>81110.72928</v>
      </c>
      <c r="L77" s="824">
        <f>SUM(J77:K77)</f>
        <v>98344.920029999994</v>
      </c>
      <c r="M77" s="833">
        <f t="shared" si="15"/>
        <v>0.40250200431354805</v>
      </c>
      <c r="N77" s="834">
        <f t="shared" si="15"/>
        <v>0.4669606372475244</v>
      </c>
      <c r="O77" s="835">
        <f t="shared" si="15"/>
        <v>0.45421351760479811</v>
      </c>
    </row>
    <row r="78" spans="2:19" ht="15" customHeight="1">
      <c r="C78" s="18"/>
      <c r="D78" s="629"/>
      <c r="E78" s="618"/>
      <c r="F78" s="630"/>
      <c r="G78" s="629"/>
      <c r="H78" s="618"/>
      <c r="I78" s="630"/>
      <c r="J78" s="629"/>
      <c r="K78" s="618"/>
      <c r="L78" s="630"/>
      <c r="M78" s="18"/>
      <c r="N78" s="18"/>
    </row>
    <row r="79" spans="2:19" ht="15" customHeight="1" thickBot="1">
      <c r="C79" s="507"/>
      <c r="D79" s="631"/>
      <c r="E79" s="631"/>
      <c r="F79" s="507"/>
      <c r="G79" s="507"/>
      <c r="H79" s="507"/>
      <c r="I79" s="632"/>
      <c r="J79" s="507"/>
      <c r="K79" s="507"/>
      <c r="L79" s="632" t="s">
        <v>0</v>
      </c>
      <c r="M79" s="507"/>
      <c r="N79" s="507"/>
    </row>
    <row r="80" spans="2:19" ht="15" customHeight="1" thickBot="1">
      <c r="B80" s="1507" t="s">
        <v>627</v>
      </c>
      <c r="C80" s="1508"/>
      <c r="D80" s="1513" t="s">
        <v>621</v>
      </c>
      <c r="E80" s="1514"/>
      <c r="F80" s="1514"/>
      <c r="G80" s="1514"/>
      <c r="H80" s="1514"/>
      <c r="I80" s="1514"/>
      <c r="J80" s="1514"/>
      <c r="K80" s="1514"/>
      <c r="L80" s="1515"/>
      <c r="M80" s="1516"/>
      <c r="N80" s="1516"/>
      <c r="O80" s="1516"/>
      <c r="P80" s="1516"/>
      <c r="Q80" s="1516"/>
      <c r="R80" s="1516"/>
      <c r="S80" s="18"/>
    </row>
    <row r="81" spans="2:19" ht="15" customHeight="1" thickBot="1">
      <c r="B81" s="1509"/>
      <c r="C81" s="1510"/>
      <c r="D81" s="1517" t="s">
        <v>622</v>
      </c>
      <c r="E81" s="1518"/>
      <c r="F81" s="1518"/>
      <c r="G81" s="1517" t="s">
        <v>623</v>
      </c>
      <c r="H81" s="1518"/>
      <c r="I81" s="1519"/>
      <c r="J81" s="1520" t="s">
        <v>624</v>
      </c>
      <c r="K81" s="1520"/>
      <c r="L81" s="1521"/>
      <c r="M81" s="1522"/>
      <c r="N81" s="1522"/>
      <c r="O81" s="1522"/>
      <c r="P81" s="1523"/>
      <c r="Q81" s="1523"/>
      <c r="R81" s="1523"/>
      <c r="S81" s="18"/>
    </row>
    <row r="82" spans="2:19" ht="60.75" customHeight="1" thickBot="1">
      <c r="B82" s="1511"/>
      <c r="C82" s="1512"/>
      <c r="D82" s="508" t="s">
        <v>585</v>
      </c>
      <c r="E82" s="509" t="s">
        <v>628</v>
      </c>
      <c r="F82" s="510" t="s">
        <v>17</v>
      </c>
      <c r="G82" s="511" t="s">
        <v>585</v>
      </c>
      <c r="H82" s="509" t="s">
        <v>628</v>
      </c>
      <c r="I82" s="633" t="s">
        <v>17</v>
      </c>
      <c r="J82" s="634" t="s">
        <v>585</v>
      </c>
      <c r="K82" s="509" t="s">
        <v>628</v>
      </c>
      <c r="L82" s="510" t="s">
        <v>17</v>
      </c>
      <c r="M82" s="583"/>
      <c r="N82" s="583"/>
      <c r="O82" s="583"/>
      <c r="P82" s="583"/>
      <c r="Q82" s="583"/>
      <c r="R82" s="583"/>
      <c r="S82" s="18"/>
    </row>
    <row r="83" spans="2:19" ht="21" customHeight="1">
      <c r="B83" s="635" t="s">
        <v>587</v>
      </c>
      <c r="C83" s="636" t="s">
        <v>588</v>
      </c>
      <c r="D83" s="637">
        <v>13</v>
      </c>
      <c r="E83" s="638">
        <v>14</v>
      </c>
      <c r="F83" s="639">
        <v>15</v>
      </c>
      <c r="G83" s="640">
        <v>16</v>
      </c>
      <c r="H83" s="622">
        <v>17</v>
      </c>
      <c r="I83" s="624">
        <v>18</v>
      </c>
      <c r="J83" s="637">
        <v>19</v>
      </c>
      <c r="K83" s="638">
        <v>20</v>
      </c>
      <c r="L83" s="639">
        <v>21</v>
      </c>
      <c r="M83" s="641"/>
      <c r="N83" s="641"/>
      <c r="O83" s="641"/>
      <c r="P83" s="642"/>
      <c r="Q83" s="642"/>
      <c r="R83" s="642"/>
      <c r="S83" s="18"/>
    </row>
    <row r="84" spans="2:19" ht="21" customHeight="1">
      <c r="B84" s="625">
        <v>6002</v>
      </c>
      <c r="C84" s="626" t="s">
        <v>629</v>
      </c>
      <c r="D84" s="608">
        <v>24941.24915</v>
      </c>
      <c r="E84" s="566">
        <v>140173.09987000001</v>
      </c>
      <c r="F84" s="567">
        <f>SUM(D84:E84)</f>
        <v>165114.34901999999</v>
      </c>
      <c r="G84" s="565">
        <v>6399.3755199999996</v>
      </c>
      <c r="H84" s="566">
        <v>35977.019330000003</v>
      </c>
      <c r="I84" s="830">
        <f>SUM(G84:H84)</f>
        <v>42376.394850000004</v>
      </c>
      <c r="J84" s="608">
        <v>22760.247029999999</v>
      </c>
      <c r="K84" s="566">
        <v>128125.24477999999</v>
      </c>
      <c r="L84" s="567">
        <f>SUM(J84:K84)</f>
        <v>150885.49180999998</v>
      </c>
      <c r="M84" s="581"/>
      <c r="N84" s="581"/>
      <c r="O84" s="581"/>
      <c r="P84" s="609"/>
      <c r="Q84" s="609"/>
      <c r="R84" s="609"/>
      <c r="S84" s="18"/>
    </row>
    <row r="85" spans="2:19" ht="21" customHeight="1" thickBot="1">
      <c r="B85" s="628" t="s">
        <v>630</v>
      </c>
      <c r="C85" s="547" t="s">
        <v>631</v>
      </c>
      <c r="D85" s="603">
        <v>293.84127000000001</v>
      </c>
      <c r="E85" s="549">
        <v>1172.8410799999999</v>
      </c>
      <c r="F85" s="550">
        <f>SUM(D85:E85)</f>
        <v>1466.68235</v>
      </c>
      <c r="G85" s="548">
        <v>293.04932000000002</v>
      </c>
      <c r="H85" s="549">
        <v>1172.19408</v>
      </c>
      <c r="I85" s="643">
        <f>SUM(G85:H85)</f>
        <v>1465.2434000000001</v>
      </c>
      <c r="J85" s="603">
        <v>28057.88377</v>
      </c>
      <c r="K85" s="549">
        <v>105806.86676</v>
      </c>
      <c r="L85" s="550">
        <f>SUM(J85:K85)</f>
        <v>133864.75053000002</v>
      </c>
      <c r="M85" s="581"/>
      <c r="N85" s="581"/>
      <c r="O85" s="581"/>
      <c r="P85" s="609"/>
      <c r="Q85" s="609"/>
      <c r="R85" s="609"/>
      <c r="S85" s="18"/>
    </row>
    <row r="86" spans="2:19" s="836" customFormat="1" ht="29.25" customHeight="1" thickBot="1">
      <c r="B86" s="831"/>
      <c r="C86" s="832" t="s">
        <v>594</v>
      </c>
      <c r="D86" s="825">
        <f>SUM(D84:D85)</f>
        <v>25235.09042</v>
      </c>
      <c r="E86" s="823">
        <f>SUM(E84:E85)</f>
        <v>141345.94095000002</v>
      </c>
      <c r="F86" s="824">
        <f>SUM(D86:E86)</f>
        <v>166581.03137000001</v>
      </c>
      <c r="G86" s="822">
        <f>SUM(G84:G85)</f>
        <v>6692.4248399999997</v>
      </c>
      <c r="H86" s="823">
        <f>SUM(H84:H85)</f>
        <v>37149.213410000004</v>
      </c>
      <c r="I86" s="837">
        <f>SUM(G86:H86)</f>
        <v>43841.638250000004</v>
      </c>
      <c r="J86" s="825">
        <f>SUM(J84:J85)</f>
        <v>50818.130799999999</v>
      </c>
      <c r="K86" s="823">
        <f>SUM(K84:K85)</f>
        <v>233932.11154000001</v>
      </c>
      <c r="L86" s="824">
        <f>SUM(J86:K86)</f>
        <v>284750.24234</v>
      </c>
      <c r="M86" s="838"/>
      <c r="N86" s="838"/>
      <c r="O86" s="838"/>
      <c r="P86" s="826"/>
      <c r="Q86" s="826"/>
      <c r="R86" s="826"/>
      <c r="S86" s="839"/>
    </row>
    <row r="87" spans="2:19" ht="17.25" customHeight="1">
      <c r="E87" s="562"/>
      <c r="F87" s="644"/>
      <c r="H87" s="562"/>
      <c r="I87" s="644"/>
      <c r="K87" s="562"/>
      <c r="L87" s="644"/>
      <c r="M87" s="18"/>
      <c r="N87" s="617"/>
      <c r="O87" s="618"/>
      <c r="P87" s="18"/>
      <c r="Q87" s="617"/>
      <c r="R87" s="630"/>
      <c r="S87" s="18"/>
    </row>
    <row r="88" spans="2:19" ht="17.25" customHeight="1">
      <c r="L88" s="18"/>
    </row>
    <row r="89" spans="2:19" s="651" customFormat="1" ht="39.75" customHeight="1">
      <c r="B89" s="1506" t="s">
        <v>741</v>
      </c>
      <c r="C89" s="1506"/>
      <c r="E89" s="651" t="s">
        <v>633</v>
      </c>
      <c r="K89" s="1505" t="s">
        <v>215</v>
      </c>
      <c r="L89" s="1505"/>
    </row>
    <row r="90" spans="2:19" ht="15" customHeight="1"/>
  </sheetData>
  <mergeCells count="44">
    <mergeCell ref="B89:C89"/>
    <mergeCell ref="B80:C82"/>
    <mergeCell ref="D80:L80"/>
    <mergeCell ref="M80:R80"/>
    <mergeCell ref="D81:F81"/>
    <mergeCell ref="G81:I81"/>
    <mergeCell ref="J81:L81"/>
    <mergeCell ref="M81:O81"/>
    <mergeCell ref="P81:R81"/>
    <mergeCell ref="K89:L89"/>
    <mergeCell ref="B62:C62"/>
    <mergeCell ref="C69:N69"/>
    <mergeCell ref="B71:C73"/>
    <mergeCell ref="D71:I71"/>
    <mergeCell ref="J71:L72"/>
    <mergeCell ref="M71:O72"/>
    <mergeCell ref="D72:F72"/>
    <mergeCell ref="G72:I72"/>
    <mergeCell ref="K64:L64"/>
    <mergeCell ref="B54:R54"/>
    <mergeCell ref="G9:I9"/>
    <mergeCell ref="B12:O12"/>
    <mergeCell ref="B15:O15"/>
    <mergeCell ref="B26:O26"/>
    <mergeCell ref="B34:C34"/>
    <mergeCell ref="B37:C39"/>
    <mergeCell ref="D37:L37"/>
    <mergeCell ref="M37:R37"/>
    <mergeCell ref="D38:F38"/>
    <mergeCell ref="G38:I38"/>
    <mergeCell ref="J38:L38"/>
    <mergeCell ref="M38:O38"/>
    <mergeCell ref="P38:R38"/>
    <mergeCell ref="B41:R41"/>
    <mergeCell ref="B44:R44"/>
    <mergeCell ref="B3:O3"/>
    <mergeCell ref="N4:O4"/>
    <mergeCell ref="B5:O5"/>
    <mergeCell ref="B6:O6"/>
    <mergeCell ref="B8:C10"/>
    <mergeCell ref="D8:I8"/>
    <mergeCell ref="J8:L9"/>
    <mergeCell ref="M8:O9"/>
    <mergeCell ref="D9:F9"/>
  </mergeCells>
  <printOptions horizontalCentered="1"/>
  <pageMargins left="0.78740157480314965" right="0.78740157480314965" top="0.9055118110236221" bottom="0.70866141732283472" header="0.51181102362204722" footer="0.31496062992125984"/>
  <pageSetup paperSize="9" scale="42" fitToHeight="2" orientation="landscape" r:id="rId1"/>
  <headerFooter alignWithMargins="0">
    <oddFooter xml:space="preserve">&amp;C&amp;16&amp;P+22
</oddFooter>
  </headerFooter>
  <rowBreaks count="1" manualBreakCount="1">
    <brk id="64" max="1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EA44"/>
  <sheetViews>
    <sheetView showGridLines="0" zoomScale="53" zoomScaleNormal="53" workbookViewId="0">
      <selection activeCell="D43" sqref="D43"/>
    </sheetView>
  </sheetViews>
  <sheetFormatPr defaultColWidth="9.140625" defaultRowHeight="15"/>
  <cols>
    <col min="1" max="1" width="59.5703125" style="29" customWidth="1"/>
    <col min="2" max="2" width="35.5703125" style="29" customWidth="1"/>
    <col min="3" max="3" width="17.85546875" style="29" customWidth="1"/>
    <col min="4" max="4" width="16.5703125" style="29" customWidth="1"/>
    <col min="5" max="5" width="15.5703125" style="29" customWidth="1"/>
    <col min="6" max="6" width="22.7109375" style="29" customWidth="1"/>
    <col min="7" max="7" width="16.28515625" style="29" customWidth="1"/>
    <col min="8" max="8" width="19.28515625" style="29" customWidth="1"/>
    <col min="9" max="9" width="14.5703125" style="29" customWidth="1"/>
    <col min="10" max="10" width="16.140625" style="29" customWidth="1"/>
    <col min="11" max="11" width="15.140625" style="29" customWidth="1"/>
    <col min="12" max="12" width="19.28515625" style="29" customWidth="1"/>
    <col min="13" max="13" width="18.42578125" style="29" customWidth="1"/>
    <col min="14" max="14" width="16" style="29" customWidth="1"/>
    <col min="15" max="15" width="16.85546875" style="29" bestFit="1" customWidth="1"/>
    <col min="16" max="16" width="19.28515625" style="29" customWidth="1"/>
    <col min="17" max="17" width="21" style="29" customWidth="1"/>
    <col min="18" max="18" width="16.140625" style="29" customWidth="1"/>
    <col min="19" max="19" width="14.42578125" style="29" customWidth="1"/>
    <col min="20" max="20" width="19.28515625" style="29" customWidth="1"/>
    <col min="21" max="21" width="20.42578125" style="29" customWidth="1"/>
    <col min="22" max="22" width="13.5703125" style="32" bestFit="1" customWidth="1"/>
    <col min="23" max="131" width="9.140625" style="32" customWidth="1"/>
    <col min="132" max="16384" width="9.140625" style="29"/>
  </cols>
  <sheetData>
    <row r="1" spans="1:131" ht="39" customHeight="1">
      <c r="A1" s="1547" t="s">
        <v>43</v>
      </c>
      <c r="B1" s="1547"/>
      <c r="C1" s="1547"/>
      <c r="D1" s="1547"/>
      <c r="E1" s="1547"/>
      <c r="F1" s="1547"/>
      <c r="G1" s="1547"/>
      <c r="H1" s="1547"/>
      <c r="I1" s="1547"/>
      <c r="J1" s="1547"/>
      <c r="K1" s="1547"/>
      <c r="L1" s="1547"/>
      <c r="M1" s="1547"/>
      <c r="N1" s="1547"/>
      <c r="O1" s="1547"/>
      <c r="P1" s="1547"/>
      <c r="Q1" s="1547"/>
      <c r="R1" s="1547"/>
      <c r="S1" s="1547"/>
      <c r="T1" s="1547"/>
      <c r="U1" s="1547"/>
    </row>
    <row r="2" spans="1:131" ht="27.75" customHeight="1">
      <c r="A2" s="1184" t="s">
        <v>157</v>
      </c>
      <c r="B2" s="1136"/>
      <c r="C2" s="1136"/>
      <c r="D2" s="1136"/>
      <c r="E2" s="1136"/>
      <c r="F2" s="1136"/>
      <c r="G2" s="1136"/>
      <c r="H2" s="1136"/>
      <c r="I2" s="1136"/>
      <c r="J2" s="1136"/>
      <c r="K2" s="1136"/>
      <c r="L2" s="1136"/>
      <c r="M2" s="1136"/>
      <c r="N2" s="1136"/>
      <c r="O2" s="1136"/>
      <c r="P2" s="1136"/>
      <c r="Q2" s="1136"/>
      <c r="R2" s="1136"/>
      <c r="S2" s="1136"/>
      <c r="T2" s="1548"/>
      <c r="U2" s="1548"/>
    </row>
    <row r="3" spans="1:131" ht="24" customHeight="1">
      <c r="A3" s="1136"/>
      <c r="B3" s="1136"/>
      <c r="C3" s="1136"/>
      <c r="D3" s="1136"/>
      <c r="E3" s="1136"/>
      <c r="F3" s="1136"/>
      <c r="G3" s="1136"/>
      <c r="H3" s="1136"/>
      <c r="I3" s="1136"/>
      <c r="J3" s="1136"/>
      <c r="K3" s="1136"/>
      <c r="L3" s="1136"/>
      <c r="M3" s="1136"/>
      <c r="N3" s="1136"/>
      <c r="O3" s="1136"/>
      <c r="P3" s="1136"/>
      <c r="Q3" s="1136"/>
      <c r="R3" s="1136"/>
      <c r="S3" s="1136"/>
      <c r="T3" s="1137"/>
      <c r="U3" s="1137"/>
    </row>
    <row r="4" spans="1:131" s="1186" customFormat="1" ht="27" customHeight="1">
      <c r="A4" s="1549" t="s">
        <v>818</v>
      </c>
      <c r="B4" s="1549"/>
      <c r="C4" s="1549"/>
      <c r="D4" s="1549"/>
      <c r="E4" s="1549"/>
      <c r="F4" s="1549"/>
      <c r="G4" s="1549"/>
      <c r="H4" s="1549"/>
      <c r="I4" s="1549"/>
      <c r="J4" s="1549"/>
      <c r="K4" s="1549"/>
      <c r="L4" s="1549"/>
      <c r="M4" s="1549"/>
      <c r="N4" s="1549"/>
      <c r="O4" s="1549"/>
      <c r="P4" s="1549"/>
      <c r="Q4" s="1549"/>
      <c r="R4" s="1549"/>
      <c r="S4" s="1549"/>
      <c r="T4" s="1549"/>
      <c r="U4" s="1549"/>
      <c r="V4" s="1185"/>
      <c r="W4" s="1185"/>
      <c r="X4" s="1185"/>
      <c r="Y4" s="1185"/>
      <c r="Z4" s="1185"/>
      <c r="AA4" s="1185"/>
      <c r="AB4" s="1185"/>
      <c r="AC4" s="1185"/>
      <c r="AD4" s="1185"/>
      <c r="AE4" s="1185"/>
      <c r="AF4" s="1185"/>
      <c r="AG4" s="1185"/>
      <c r="AH4" s="1185"/>
      <c r="AI4" s="1185"/>
      <c r="AJ4" s="1185"/>
      <c r="AK4" s="1185"/>
      <c r="AL4" s="1185"/>
      <c r="AM4" s="1185"/>
      <c r="AN4" s="1185"/>
      <c r="AO4" s="1185"/>
      <c r="AP4" s="1185"/>
      <c r="AQ4" s="1185"/>
      <c r="AR4" s="1185"/>
      <c r="AS4" s="1185"/>
      <c r="AT4" s="1185"/>
      <c r="AU4" s="1185"/>
      <c r="AV4" s="1185"/>
      <c r="AW4" s="1185"/>
      <c r="AX4" s="1185"/>
      <c r="AY4" s="1185"/>
      <c r="AZ4" s="1185"/>
      <c r="BA4" s="1185"/>
      <c r="BB4" s="1185"/>
      <c r="BC4" s="1185"/>
      <c r="BD4" s="1185"/>
      <c r="BE4" s="1185"/>
      <c r="BF4" s="1185"/>
      <c r="BG4" s="1185"/>
      <c r="BH4" s="1185"/>
      <c r="BI4" s="1185"/>
      <c r="BJ4" s="1185"/>
      <c r="BK4" s="1185"/>
      <c r="BL4" s="1185"/>
      <c r="BM4" s="1185"/>
      <c r="BN4" s="1185"/>
      <c r="BO4" s="1185"/>
      <c r="BP4" s="1185"/>
      <c r="BQ4" s="1185"/>
      <c r="BR4" s="1185"/>
      <c r="BS4" s="1185"/>
      <c r="BT4" s="1185"/>
      <c r="BU4" s="1185"/>
      <c r="BV4" s="1185"/>
      <c r="BW4" s="1185"/>
      <c r="BX4" s="1185"/>
      <c r="BY4" s="1185"/>
      <c r="BZ4" s="1185"/>
      <c r="CA4" s="1185"/>
      <c r="CB4" s="1185"/>
      <c r="CC4" s="1185"/>
      <c r="CD4" s="1185"/>
      <c r="CE4" s="1185"/>
      <c r="CF4" s="1185"/>
      <c r="CG4" s="1185"/>
      <c r="CH4" s="1185"/>
      <c r="CI4" s="1185"/>
      <c r="CJ4" s="1185"/>
      <c r="CK4" s="1185"/>
      <c r="CL4" s="1185"/>
      <c r="CM4" s="1185"/>
      <c r="CN4" s="1185"/>
      <c r="CO4" s="1185"/>
      <c r="CP4" s="1185"/>
      <c r="CQ4" s="1185"/>
      <c r="CR4" s="1185"/>
      <c r="CS4" s="1185"/>
      <c r="CT4" s="1185"/>
      <c r="CU4" s="1185"/>
      <c r="CV4" s="1185"/>
      <c r="CW4" s="1185"/>
      <c r="CX4" s="1185"/>
      <c r="CY4" s="1185"/>
      <c r="CZ4" s="1185"/>
      <c r="DA4" s="1185"/>
      <c r="DB4" s="1185"/>
      <c r="DC4" s="1185"/>
      <c r="DD4" s="1185"/>
      <c r="DE4" s="1185"/>
      <c r="DF4" s="1185"/>
      <c r="DG4" s="1185"/>
      <c r="DH4" s="1185"/>
      <c r="DI4" s="1185"/>
      <c r="DJ4" s="1185"/>
      <c r="DK4" s="1185"/>
      <c r="DL4" s="1185"/>
      <c r="DM4" s="1185"/>
      <c r="DN4" s="1185"/>
      <c r="DO4" s="1185"/>
      <c r="DP4" s="1185"/>
      <c r="DQ4" s="1185"/>
      <c r="DR4" s="1185"/>
      <c r="DS4" s="1185"/>
      <c r="DT4" s="1185"/>
      <c r="DU4" s="1185"/>
      <c r="DV4" s="1185"/>
      <c r="DW4" s="1185"/>
      <c r="DX4" s="1185"/>
      <c r="DY4" s="1185"/>
      <c r="DZ4" s="1185"/>
      <c r="EA4" s="1185"/>
    </row>
    <row r="5" spans="1:131" ht="24.75" customHeight="1" thickBot="1">
      <c r="A5" s="1138"/>
      <c r="B5" s="1138"/>
      <c r="C5" s="1138"/>
      <c r="D5" s="1138"/>
      <c r="E5" s="1138"/>
      <c r="F5" s="1138"/>
      <c r="G5" s="1138"/>
      <c r="H5" s="1138"/>
      <c r="I5" s="1138"/>
      <c r="J5" s="1138"/>
      <c r="K5" s="1138"/>
      <c r="L5" s="1138"/>
      <c r="M5" s="1138"/>
      <c r="N5" s="1138"/>
      <c r="O5" s="1138"/>
      <c r="P5" s="1138"/>
      <c r="Q5" s="1138"/>
      <c r="R5" s="1138"/>
      <c r="S5" s="1138"/>
      <c r="T5" s="1138"/>
      <c r="U5" s="1138"/>
    </row>
    <row r="6" spans="1:131" ht="45.75" customHeight="1">
      <c r="A6" s="1550"/>
      <c r="B6" s="1553" t="s">
        <v>782</v>
      </c>
      <c r="C6" s="1553" t="s">
        <v>783</v>
      </c>
      <c r="D6" s="1553" t="s">
        <v>784</v>
      </c>
      <c r="E6" s="1553" t="s">
        <v>785</v>
      </c>
      <c r="F6" s="1557" t="s">
        <v>786</v>
      </c>
      <c r="G6" s="1558"/>
      <c r="H6" s="1558"/>
      <c r="I6" s="1558"/>
      <c r="J6" s="1561" t="s">
        <v>787</v>
      </c>
      <c r="K6" s="1562"/>
      <c r="L6" s="1562"/>
      <c r="M6" s="1562"/>
      <c r="N6" s="1562"/>
      <c r="O6" s="1562"/>
      <c r="P6" s="1562"/>
      <c r="Q6" s="1562"/>
      <c r="R6" s="1562"/>
      <c r="S6" s="1562"/>
      <c r="T6" s="1562"/>
      <c r="U6" s="1563"/>
    </row>
    <row r="7" spans="1:131" ht="51.75" customHeight="1">
      <c r="A7" s="1551"/>
      <c r="B7" s="1554"/>
      <c r="C7" s="1554"/>
      <c r="D7" s="1554"/>
      <c r="E7" s="1554"/>
      <c r="F7" s="1559"/>
      <c r="G7" s="1560"/>
      <c r="H7" s="1560"/>
      <c r="I7" s="1560"/>
      <c r="J7" s="1564" t="s">
        <v>788</v>
      </c>
      <c r="K7" s="1565"/>
      <c r="L7" s="1565"/>
      <c r="M7" s="1566"/>
      <c r="N7" s="1564" t="s">
        <v>789</v>
      </c>
      <c r="O7" s="1565"/>
      <c r="P7" s="1565"/>
      <c r="Q7" s="1566"/>
      <c r="R7" s="1565" t="s">
        <v>17</v>
      </c>
      <c r="S7" s="1565"/>
      <c r="T7" s="1565"/>
      <c r="U7" s="1566"/>
    </row>
    <row r="8" spans="1:131" ht="21" customHeight="1">
      <c r="A8" s="1551"/>
      <c r="B8" s="1554"/>
      <c r="C8" s="1554"/>
      <c r="D8" s="1554"/>
      <c r="E8" s="1554"/>
      <c r="F8" s="1567" t="s">
        <v>790</v>
      </c>
      <c r="G8" s="1567" t="s">
        <v>791</v>
      </c>
      <c r="H8" s="1567" t="s">
        <v>792</v>
      </c>
      <c r="I8" s="1527" t="s">
        <v>17</v>
      </c>
      <c r="J8" s="1530" t="s">
        <v>793</v>
      </c>
      <c r="K8" s="1533" t="s">
        <v>794</v>
      </c>
      <c r="L8" s="1533" t="s">
        <v>795</v>
      </c>
      <c r="M8" s="1537" t="s">
        <v>17</v>
      </c>
      <c r="N8" s="1530" t="s">
        <v>793</v>
      </c>
      <c r="O8" s="1533" t="s">
        <v>794</v>
      </c>
      <c r="P8" s="1533" t="s">
        <v>795</v>
      </c>
      <c r="Q8" s="1537" t="s">
        <v>17</v>
      </c>
      <c r="R8" s="1524" t="s">
        <v>793</v>
      </c>
      <c r="S8" s="1533" t="s">
        <v>794</v>
      </c>
      <c r="T8" s="1533" t="s">
        <v>795</v>
      </c>
      <c r="U8" s="1537" t="s">
        <v>17</v>
      </c>
    </row>
    <row r="9" spans="1:131" ht="12.75" customHeight="1">
      <c r="A9" s="1551"/>
      <c r="B9" s="1554"/>
      <c r="C9" s="1554"/>
      <c r="D9" s="1554"/>
      <c r="E9" s="1554"/>
      <c r="F9" s="1554"/>
      <c r="G9" s="1554"/>
      <c r="H9" s="1554"/>
      <c r="I9" s="1528"/>
      <c r="J9" s="1531"/>
      <c r="K9" s="1534"/>
      <c r="L9" s="1534"/>
      <c r="M9" s="1538"/>
      <c r="N9" s="1531"/>
      <c r="O9" s="1534"/>
      <c r="P9" s="1534"/>
      <c r="Q9" s="1538"/>
      <c r="R9" s="1525"/>
      <c r="S9" s="1534"/>
      <c r="T9" s="1534"/>
      <c r="U9" s="1538"/>
    </row>
    <row r="10" spans="1:131" ht="134.25" customHeight="1">
      <c r="A10" s="1551"/>
      <c r="B10" s="1554"/>
      <c r="C10" s="1554"/>
      <c r="D10" s="1556"/>
      <c r="E10" s="1556"/>
      <c r="F10" s="1556"/>
      <c r="G10" s="1556"/>
      <c r="H10" s="1556"/>
      <c r="I10" s="1529"/>
      <c r="J10" s="1532"/>
      <c r="K10" s="1535"/>
      <c r="L10" s="1535"/>
      <c r="M10" s="1539"/>
      <c r="N10" s="1532"/>
      <c r="O10" s="1535"/>
      <c r="P10" s="1535"/>
      <c r="Q10" s="1539"/>
      <c r="R10" s="1526"/>
      <c r="S10" s="1535"/>
      <c r="T10" s="1535"/>
      <c r="U10" s="1539"/>
    </row>
    <row r="11" spans="1:131" s="1149" customFormat="1" ht="44.25" customHeight="1" thickBot="1">
      <c r="A11" s="1552"/>
      <c r="B11" s="1555"/>
      <c r="C11" s="1555"/>
      <c r="D11" s="1139">
        <v>1</v>
      </c>
      <c r="E11" s="1139">
        <v>2</v>
      </c>
      <c r="F11" s="1140">
        <v>3</v>
      </c>
      <c r="G11" s="1140">
        <v>4</v>
      </c>
      <c r="H11" s="1140">
        <v>5</v>
      </c>
      <c r="I11" s="1141" t="s">
        <v>796</v>
      </c>
      <c r="J11" s="1142">
        <v>7</v>
      </c>
      <c r="K11" s="1143">
        <v>8</v>
      </c>
      <c r="L11" s="1144">
        <v>9</v>
      </c>
      <c r="M11" s="1145" t="s">
        <v>797</v>
      </c>
      <c r="N11" s="1142">
        <v>11</v>
      </c>
      <c r="O11" s="1146">
        <v>12</v>
      </c>
      <c r="P11" s="1147">
        <v>13</v>
      </c>
      <c r="Q11" s="1145" t="s">
        <v>798</v>
      </c>
      <c r="R11" s="1143">
        <v>15</v>
      </c>
      <c r="S11" s="1143">
        <v>16</v>
      </c>
      <c r="T11" s="1144">
        <v>17</v>
      </c>
      <c r="U11" s="1145" t="s">
        <v>799</v>
      </c>
      <c r="V11" s="1148"/>
      <c r="W11" s="1148"/>
      <c r="X11" s="1148"/>
      <c r="Y11" s="1148"/>
      <c r="Z11" s="1148"/>
      <c r="AA11" s="1148"/>
      <c r="AB11" s="1148"/>
      <c r="AC11" s="1148"/>
      <c r="AD11" s="1148"/>
      <c r="AE11" s="1148"/>
      <c r="AF11" s="1148"/>
      <c r="AG11" s="1148"/>
      <c r="AH11" s="1148"/>
      <c r="AI11" s="1148"/>
      <c r="AJ11" s="1148"/>
      <c r="AK11" s="1148"/>
      <c r="AL11" s="1148"/>
      <c r="AM11" s="1148"/>
      <c r="AN11" s="1148"/>
      <c r="AO11" s="1148"/>
      <c r="AP11" s="1148"/>
      <c r="AQ11" s="1148"/>
      <c r="AR11" s="1148"/>
      <c r="AS11" s="1148"/>
      <c r="AT11" s="1148"/>
      <c r="AU11" s="1148"/>
      <c r="AV11" s="1148"/>
      <c r="AW11" s="1148"/>
      <c r="AX11" s="1148"/>
      <c r="AY11" s="1148"/>
      <c r="AZ11" s="1148"/>
      <c r="BA11" s="1148"/>
      <c r="BB11" s="1148"/>
      <c r="BC11" s="1148"/>
      <c r="BD11" s="1148"/>
      <c r="BE11" s="1148"/>
      <c r="BF11" s="1148"/>
      <c r="BG11" s="1148"/>
      <c r="BH11" s="1148"/>
      <c r="BI11" s="1148"/>
      <c r="BJ11" s="1148"/>
      <c r="BK11" s="1148"/>
      <c r="BL11" s="1148"/>
      <c r="BM11" s="1148"/>
      <c r="BN11" s="1148"/>
      <c r="BO11" s="1148"/>
      <c r="BP11" s="1148"/>
      <c r="BQ11" s="1148"/>
      <c r="BR11" s="1148"/>
      <c r="BS11" s="1148"/>
      <c r="BT11" s="1148"/>
      <c r="BU11" s="1148"/>
      <c r="BV11" s="1148"/>
      <c r="BW11" s="1148"/>
      <c r="BX11" s="1148"/>
      <c r="BY11" s="1148"/>
      <c r="BZ11" s="1148"/>
      <c r="CA11" s="1148"/>
      <c r="CB11" s="1148"/>
      <c r="CC11" s="1148"/>
      <c r="CD11" s="1148"/>
      <c r="CE11" s="1148"/>
      <c r="CF11" s="1148"/>
      <c r="CG11" s="1148"/>
      <c r="CH11" s="1148"/>
      <c r="CI11" s="1148"/>
      <c r="CJ11" s="1148"/>
      <c r="CK11" s="1148"/>
      <c r="CL11" s="1148"/>
      <c r="CM11" s="1148"/>
      <c r="CN11" s="1148"/>
      <c r="CO11" s="1148"/>
      <c r="CP11" s="1148"/>
      <c r="CQ11" s="1148"/>
      <c r="CR11" s="1148"/>
      <c r="CS11" s="1148"/>
      <c r="CT11" s="1148"/>
      <c r="CU11" s="1148"/>
      <c r="CV11" s="1148"/>
      <c r="CW11" s="1148"/>
      <c r="CX11" s="1148"/>
      <c r="CY11" s="1148"/>
      <c r="CZ11" s="1148"/>
      <c r="DA11" s="1148"/>
      <c r="DB11" s="1148"/>
      <c r="DC11" s="1148"/>
      <c r="DD11" s="1148"/>
      <c r="DE11" s="1148"/>
      <c r="DF11" s="1148"/>
      <c r="DG11" s="1148"/>
      <c r="DH11" s="1148"/>
      <c r="DI11" s="1148"/>
      <c r="DJ11" s="1148"/>
      <c r="DK11" s="1148"/>
      <c r="DL11" s="1148"/>
      <c r="DM11" s="1148"/>
      <c r="DN11" s="1148"/>
      <c r="DO11" s="1148"/>
      <c r="DP11" s="1148"/>
      <c r="DQ11" s="1148"/>
      <c r="DR11" s="1148"/>
      <c r="DS11" s="1148"/>
      <c r="DT11" s="1148"/>
      <c r="DU11" s="1148"/>
      <c r="DV11" s="1148"/>
      <c r="DW11" s="1148"/>
      <c r="DX11" s="1148"/>
      <c r="DY11" s="1148"/>
      <c r="DZ11" s="1148"/>
      <c r="EA11" s="1148"/>
    </row>
    <row r="12" spans="1:131" s="1149" customFormat="1" ht="35.1" customHeight="1">
      <c r="A12" s="1540" t="s">
        <v>819</v>
      </c>
      <c r="B12" s="1212" t="s">
        <v>52</v>
      </c>
      <c r="C12" s="1212"/>
      <c r="D12" s="1187">
        <v>65923.24720068906</v>
      </c>
      <c r="E12" s="1188">
        <v>0</v>
      </c>
      <c r="F12" s="1188">
        <v>0.41800000000000004</v>
      </c>
      <c r="G12" s="1189">
        <v>0</v>
      </c>
      <c r="H12" s="1189">
        <v>2.2909999999999999</v>
      </c>
      <c r="I12" s="1190">
        <v>2.7090000000000001</v>
      </c>
      <c r="J12" s="1187">
        <v>321454.98</v>
      </c>
      <c r="K12" s="1191">
        <v>0</v>
      </c>
      <c r="L12" s="1191">
        <v>0</v>
      </c>
      <c r="M12" s="1192">
        <v>321454.98</v>
      </c>
      <c r="N12" s="1187">
        <v>1821577.94</v>
      </c>
      <c r="O12" s="1191">
        <v>0</v>
      </c>
      <c r="P12" s="1191">
        <v>0</v>
      </c>
      <c r="Q12" s="1192">
        <v>1821577.94</v>
      </c>
      <c r="R12" s="1187">
        <v>2143032.92</v>
      </c>
      <c r="S12" s="1191">
        <v>0</v>
      </c>
      <c r="T12" s="1191">
        <v>0</v>
      </c>
      <c r="U12" s="1192">
        <v>2143032.92</v>
      </c>
      <c r="V12" s="1148"/>
      <c r="W12" s="1148"/>
      <c r="X12" s="1148"/>
      <c r="Y12" s="1148"/>
      <c r="Z12" s="1148"/>
      <c r="AA12" s="1148"/>
      <c r="AB12" s="1148"/>
      <c r="AC12" s="1148"/>
      <c r="AD12" s="1148"/>
      <c r="AE12" s="1148"/>
      <c r="AF12" s="1148"/>
      <c r="AG12" s="1148"/>
      <c r="AH12" s="1148"/>
      <c r="AI12" s="1148"/>
      <c r="AJ12" s="1148"/>
      <c r="AK12" s="1148"/>
      <c r="AL12" s="1148"/>
      <c r="AM12" s="1148"/>
      <c r="AN12" s="1148"/>
      <c r="AO12" s="1148"/>
      <c r="AP12" s="1148"/>
      <c r="AQ12" s="1148"/>
      <c r="AR12" s="1148"/>
      <c r="AS12" s="1148"/>
      <c r="AT12" s="1148"/>
      <c r="AU12" s="1148"/>
      <c r="AV12" s="1148"/>
      <c r="AW12" s="1148"/>
      <c r="AX12" s="1148"/>
      <c r="AY12" s="1148"/>
      <c r="AZ12" s="1148"/>
      <c r="BA12" s="1148"/>
      <c r="BB12" s="1148"/>
      <c r="BC12" s="1148"/>
      <c r="BD12" s="1148"/>
      <c r="BE12" s="1148"/>
      <c r="BF12" s="1148"/>
      <c r="BG12" s="1148"/>
      <c r="BH12" s="1148"/>
      <c r="BI12" s="1148"/>
      <c r="BJ12" s="1148"/>
      <c r="BK12" s="1148"/>
      <c r="BL12" s="1148"/>
      <c r="BM12" s="1148"/>
      <c r="BN12" s="1148"/>
      <c r="BO12" s="1148"/>
      <c r="BP12" s="1148"/>
      <c r="BQ12" s="1148"/>
      <c r="BR12" s="1148"/>
      <c r="BS12" s="1148"/>
      <c r="BT12" s="1148"/>
      <c r="BU12" s="1148"/>
      <c r="BV12" s="1148"/>
      <c r="BW12" s="1148"/>
      <c r="BX12" s="1148"/>
      <c r="BY12" s="1148"/>
      <c r="BZ12" s="1148"/>
      <c r="CA12" s="1148"/>
      <c r="CB12" s="1148"/>
      <c r="CC12" s="1148"/>
      <c r="CD12" s="1148"/>
      <c r="CE12" s="1148"/>
      <c r="CF12" s="1148"/>
      <c r="CG12" s="1148"/>
      <c r="CH12" s="1148"/>
      <c r="CI12" s="1148"/>
      <c r="CJ12" s="1148"/>
      <c r="CK12" s="1148"/>
      <c r="CL12" s="1148"/>
      <c r="CM12" s="1148"/>
      <c r="CN12" s="1148"/>
      <c r="CO12" s="1148"/>
      <c r="CP12" s="1148"/>
      <c r="CQ12" s="1148"/>
      <c r="CR12" s="1148"/>
      <c r="CS12" s="1148"/>
      <c r="CT12" s="1148"/>
      <c r="CU12" s="1148"/>
      <c r="CV12" s="1148"/>
      <c r="CW12" s="1148"/>
      <c r="CX12" s="1148"/>
      <c r="CY12" s="1148"/>
      <c r="CZ12" s="1148"/>
      <c r="DA12" s="1148"/>
      <c r="DB12" s="1148"/>
      <c r="DC12" s="1148"/>
      <c r="DD12" s="1148"/>
      <c r="DE12" s="1148"/>
      <c r="DF12" s="1148"/>
      <c r="DG12" s="1148"/>
      <c r="DH12" s="1148"/>
      <c r="DI12" s="1148"/>
      <c r="DJ12" s="1148"/>
      <c r="DK12" s="1148"/>
      <c r="DL12" s="1148"/>
      <c r="DM12" s="1148"/>
      <c r="DN12" s="1148"/>
      <c r="DO12" s="1148"/>
      <c r="DP12" s="1148"/>
      <c r="DQ12" s="1148"/>
      <c r="DR12" s="1148"/>
      <c r="DS12" s="1148"/>
      <c r="DT12" s="1148"/>
      <c r="DU12" s="1148"/>
      <c r="DV12" s="1148"/>
      <c r="DW12" s="1148"/>
      <c r="DX12" s="1148"/>
      <c r="DY12" s="1148"/>
      <c r="DZ12" s="1148"/>
      <c r="EA12" s="1148"/>
    </row>
    <row r="13" spans="1:131" s="1149" customFormat="1" ht="35.1" customHeight="1">
      <c r="A13" s="1541"/>
      <c r="B13" s="1213" t="s">
        <v>800</v>
      </c>
      <c r="C13" s="1213"/>
      <c r="D13" s="1193">
        <v>43152.285623019525</v>
      </c>
      <c r="E13" s="1194">
        <v>0</v>
      </c>
      <c r="F13" s="1194">
        <v>4.8890000000000002</v>
      </c>
      <c r="G13" s="1195">
        <v>0</v>
      </c>
      <c r="H13" s="1195">
        <v>27.721</v>
      </c>
      <c r="I13" s="1196">
        <v>32.61</v>
      </c>
      <c r="J13" s="1193">
        <v>2532965.2800000003</v>
      </c>
      <c r="K13" s="1197">
        <v>0</v>
      </c>
      <c r="L13" s="1197">
        <v>0</v>
      </c>
      <c r="M13" s="1198">
        <v>2532965.2800000003</v>
      </c>
      <c r="N13" s="1193">
        <v>14353387.129999999</v>
      </c>
      <c r="O13" s="1197">
        <v>0</v>
      </c>
      <c r="P13" s="1197">
        <v>0</v>
      </c>
      <c r="Q13" s="1198">
        <v>14353387.129999999</v>
      </c>
      <c r="R13" s="1193">
        <v>16886352.41</v>
      </c>
      <c r="S13" s="1197">
        <v>0</v>
      </c>
      <c r="T13" s="1197">
        <v>0</v>
      </c>
      <c r="U13" s="1198">
        <v>16886352.41</v>
      </c>
      <c r="V13" s="1148"/>
      <c r="W13" s="1148"/>
      <c r="X13" s="1148"/>
      <c r="Y13" s="1148"/>
      <c r="Z13" s="1148"/>
      <c r="AA13" s="1148"/>
      <c r="AB13" s="1148"/>
      <c r="AC13" s="1148"/>
      <c r="AD13" s="1148"/>
      <c r="AE13" s="1148"/>
      <c r="AF13" s="1148"/>
      <c r="AG13" s="1148"/>
      <c r="AH13" s="1148"/>
      <c r="AI13" s="1148"/>
      <c r="AJ13" s="1148"/>
      <c r="AK13" s="1148"/>
      <c r="AL13" s="1148"/>
      <c r="AM13" s="1148"/>
      <c r="AN13" s="1148"/>
      <c r="AO13" s="1148"/>
      <c r="AP13" s="1148"/>
      <c r="AQ13" s="1148"/>
      <c r="AR13" s="1148"/>
      <c r="AS13" s="1148"/>
      <c r="AT13" s="1148"/>
      <c r="AU13" s="1148"/>
      <c r="AV13" s="1148"/>
      <c r="AW13" s="1148"/>
      <c r="AX13" s="1148"/>
      <c r="AY13" s="1148"/>
      <c r="AZ13" s="1148"/>
      <c r="BA13" s="1148"/>
      <c r="BB13" s="1148"/>
      <c r="BC13" s="1148"/>
      <c r="BD13" s="1148"/>
      <c r="BE13" s="1148"/>
      <c r="BF13" s="1148"/>
      <c r="BG13" s="1148"/>
      <c r="BH13" s="1148"/>
      <c r="BI13" s="1148"/>
      <c r="BJ13" s="1148"/>
      <c r="BK13" s="1148"/>
      <c r="BL13" s="1148"/>
      <c r="BM13" s="1148"/>
      <c r="BN13" s="1148"/>
      <c r="BO13" s="1148"/>
      <c r="BP13" s="1148"/>
      <c r="BQ13" s="1148"/>
      <c r="BR13" s="1148"/>
      <c r="BS13" s="1148"/>
      <c r="BT13" s="1148"/>
      <c r="BU13" s="1148"/>
      <c r="BV13" s="1148"/>
      <c r="BW13" s="1148"/>
      <c r="BX13" s="1148"/>
      <c r="BY13" s="1148"/>
      <c r="BZ13" s="1148"/>
      <c r="CA13" s="1148"/>
      <c r="CB13" s="1148"/>
      <c r="CC13" s="1148"/>
      <c r="CD13" s="1148"/>
      <c r="CE13" s="1148"/>
      <c r="CF13" s="1148"/>
      <c r="CG13" s="1148"/>
      <c r="CH13" s="1148"/>
      <c r="CI13" s="1148"/>
      <c r="CJ13" s="1148"/>
      <c r="CK13" s="1148"/>
      <c r="CL13" s="1148"/>
      <c r="CM13" s="1148"/>
      <c r="CN13" s="1148"/>
      <c r="CO13" s="1148"/>
      <c r="CP13" s="1148"/>
      <c r="CQ13" s="1148"/>
      <c r="CR13" s="1148"/>
      <c r="CS13" s="1148"/>
      <c r="CT13" s="1148"/>
      <c r="CU13" s="1148"/>
      <c r="CV13" s="1148"/>
      <c r="CW13" s="1148"/>
      <c r="CX13" s="1148"/>
      <c r="CY13" s="1148"/>
      <c r="CZ13" s="1148"/>
      <c r="DA13" s="1148"/>
      <c r="DB13" s="1148"/>
      <c r="DC13" s="1148"/>
      <c r="DD13" s="1148"/>
      <c r="DE13" s="1148"/>
      <c r="DF13" s="1148"/>
      <c r="DG13" s="1148"/>
      <c r="DH13" s="1148"/>
      <c r="DI13" s="1148"/>
      <c r="DJ13" s="1148"/>
      <c r="DK13" s="1148"/>
      <c r="DL13" s="1148"/>
      <c r="DM13" s="1148"/>
      <c r="DN13" s="1148"/>
      <c r="DO13" s="1148"/>
      <c r="DP13" s="1148"/>
      <c r="DQ13" s="1148"/>
      <c r="DR13" s="1148"/>
      <c r="DS13" s="1148"/>
      <c r="DT13" s="1148"/>
      <c r="DU13" s="1148"/>
      <c r="DV13" s="1148"/>
      <c r="DW13" s="1148"/>
      <c r="DX13" s="1148"/>
      <c r="DY13" s="1148"/>
      <c r="DZ13" s="1148"/>
      <c r="EA13" s="1148"/>
    </row>
    <row r="14" spans="1:131" s="1149" customFormat="1" ht="35.1" customHeight="1">
      <c r="A14" s="1541"/>
      <c r="B14" s="1213" t="s">
        <v>801</v>
      </c>
      <c r="C14" s="1213"/>
      <c r="D14" s="1193">
        <v>0</v>
      </c>
      <c r="E14" s="1193">
        <v>0</v>
      </c>
      <c r="F14" s="1193">
        <v>0</v>
      </c>
      <c r="G14" s="1195">
        <v>0</v>
      </c>
      <c r="H14" s="1197">
        <v>0</v>
      </c>
      <c r="I14" s="1198">
        <v>0</v>
      </c>
      <c r="J14" s="1193">
        <v>0</v>
      </c>
      <c r="K14" s="1197">
        <v>0</v>
      </c>
      <c r="L14" s="1197">
        <v>215482.56</v>
      </c>
      <c r="M14" s="1198">
        <v>215482.56</v>
      </c>
      <c r="N14" s="1193">
        <v>0</v>
      </c>
      <c r="O14" s="1197">
        <v>0</v>
      </c>
      <c r="P14" s="1197">
        <v>1221067.44</v>
      </c>
      <c r="Q14" s="1198">
        <v>1221067.44</v>
      </c>
      <c r="R14" s="1193">
        <v>0</v>
      </c>
      <c r="S14" s="1197">
        <v>0</v>
      </c>
      <c r="T14" s="1197">
        <v>1436550</v>
      </c>
      <c r="U14" s="1198">
        <v>1436550</v>
      </c>
      <c r="V14" s="1148"/>
      <c r="W14" s="1148"/>
      <c r="X14" s="1148"/>
      <c r="Y14" s="1148"/>
      <c r="Z14" s="1148"/>
      <c r="AA14" s="1148"/>
      <c r="AB14" s="1148"/>
      <c r="AC14" s="1148"/>
      <c r="AD14" s="1148"/>
      <c r="AE14" s="1148"/>
      <c r="AF14" s="1148"/>
      <c r="AG14" s="1148"/>
      <c r="AH14" s="1148"/>
      <c r="AI14" s="1148"/>
      <c r="AJ14" s="1148"/>
      <c r="AK14" s="1148"/>
      <c r="AL14" s="1148"/>
      <c r="AM14" s="1148"/>
      <c r="AN14" s="1148"/>
      <c r="AO14" s="1148"/>
      <c r="AP14" s="1148"/>
      <c r="AQ14" s="1148"/>
      <c r="AR14" s="1148"/>
      <c r="AS14" s="1148"/>
      <c r="AT14" s="1148"/>
      <c r="AU14" s="1148"/>
      <c r="AV14" s="1148"/>
      <c r="AW14" s="1148"/>
      <c r="AX14" s="1148"/>
      <c r="AY14" s="1148"/>
      <c r="AZ14" s="1148"/>
      <c r="BA14" s="1148"/>
      <c r="BB14" s="1148"/>
      <c r="BC14" s="1148"/>
      <c r="BD14" s="1148"/>
      <c r="BE14" s="1148"/>
      <c r="BF14" s="1148"/>
      <c r="BG14" s="1148"/>
      <c r="BH14" s="1148"/>
      <c r="BI14" s="1148"/>
      <c r="BJ14" s="1148"/>
      <c r="BK14" s="1148"/>
      <c r="BL14" s="1148"/>
      <c r="BM14" s="1148"/>
      <c r="BN14" s="1148"/>
      <c r="BO14" s="1148"/>
      <c r="BP14" s="1148"/>
      <c r="BQ14" s="1148"/>
      <c r="BR14" s="1148"/>
      <c r="BS14" s="1148"/>
      <c r="BT14" s="1148"/>
      <c r="BU14" s="1148"/>
      <c r="BV14" s="1148"/>
      <c r="BW14" s="1148"/>
      <c r="BX14" s="1148"/>
      <c r="BY14" s="1148"/>
      <c r="BZ14" s="1148"/>
      <c r="CA14" s="1148"/>
      <c r="CB14" s="1148"/>
      <c r="CC14" s="1148"/>
      <c r="CD14" s="1148"/>
      <c r="CE14" s="1148"/>
      <c r="CF14" s="1148"/>
      <c r="CG14" s="1148"/>
      <c r="CH14" s="1148"/>
      <c r="CI14" s="1148"/>
      <c r="CJ14" s="1148"/>
      <c r="CK14" s="1148"/>
      <c r="CL14" s="1148"/>
      <c r="CM14" s="1148"/>
      <c r="CN14" s="1148"/>
      <c r="CO14" s="1148"/>
      <c r="CP14" s="1148"/>
      <c r="CQ14" s="1148"/>
      <c r="CR14" s="1148"/>
      <c r="CS14" s="1148"/>
      <c r="CT14" s="1148"/>
      <c r="CU14" s="1148"/>
      <c r="CV14" s="1148"/>
      <c r="CW14" s="1148"/>
      <c r="CX14" s="1148"/>
      <c r="CY14" s="1148"/>
      <c r="CZ14" s="1148"/>
      <c r="DA14" s="1148"/>
      <c r="DB14" s="1148"/>
      <c r="DC14" s="1148"/>
      <c r="DD14" s="1148"/>
      <c r="DE14" s="1148"/>
      <c r="DF14" s="1148"/>
      <c r="DG14" s="1148"/>
      <c r="DH14" s="1148"/>
      <c r="DI14" s="1148"/>
      <c r="DJ14" s="1148"/>
      <c r="DK14" s="1148"/>
      <c r="DL14" s="1148"/>
      <c r="DM14" s="1148"/>
      <c r="DN14" s="1148"/>
      <c r="DO14" s="1148"/>
      <c r="DP14" s="1148"/>
      <c r="DQ14" s="1148"/>
      <c r="DR14" s="1148"/>
      <c r="DS14" s="1148"/>
      <c r="DT14" s="1148"/>
      <c r="DU14" s="1148"/>
      <c r="DV14" s="1148"/>
      <c r="DW14" s="1148"/>
      <c r="DX14" s="1148"/>
      <c r="DY14" s="1148"/>
      <c r="DZ14" s="1148"/>
      <c r="EA14" s="1148"/>
    </row>
    <row r="15" spans="1:131" s="1149" customFormat="1" ht="35.1" customHeight="1" thickBot="1">
      <c r="A15" s="1542"/>
      <c r="B15" s="1214" t="s">
        <v>802</v>
      </c>
      <c r="C15" s="1214"/>
      <c r="D15" s="1193">
        <v>44898.839458459552</v>
      </c>
      <c r="E15" s="1194">
        <v>0</v>
      </c>
      <c r="F15" s="1194">
        <v>5.3070000000000004</v>
      </c>
      <c r="G15" s="1195">
        <v>0</v>
      </c>
      <c r="H15" s="1195">
        <v>30.012</v>
      </c>
      <c r="I15" s="1196">
        <v>35.319000000000003</v>
      </c>
      <c r="J15" s="1193">
        <v>2854420.2600000002</v>
      </c>
      <c r="K15" s="1197">
        <v>0</v>
      </c>
      <c r="L15" s="1197">
        <v>215482.56</v>
      </c>
      <c r="M15" s="1198">
        <v>3069902.8200000003</v>
      </c>
      <c r="N15" s="1193">
        <v>16174965.069999998</v>
      </c>
      <c r="O15" s="1197">
        <v>0</v>
      </c>
      <c r="P15" s="1197">
        <v>1221067.44</v>
      </c>
      <c r="Q15" s="1198">
        <v>17396032.509999998</v>
      </c>
      <c r="R15" s="1193">
        <v>19029385.329999998</v>
      </c>
      <c r="S15" s="1197">
        <v>0</v>
      </c>
      <c r="T15" s="1197">
        <v>1436550</v>
      </c>
      <c r="U15" s="1198">
        <v>20465935.329999998</v>
      </c>
      <c r="V15" s="1150"/>
      <c r="W15" s="1150"/>
      <c r="X15" s="1148"/>
      <c r="Y15" s="1148"/>
      <c r="Z15" s="1148"/>
      <c r="AA15" s="1148"/>
      <c r="AB15" s="1148"/>
      <c r="AC15" s="1148"/>
      <c r="AD15" s="1148"/>
      <c r="AE15" s="1148"/>
      <c r="AF15" s="1148"/>
      <c r="AG15" s="1148"/>
      <c r="AH15" s="1148"/>
      <c r="AI15" s="1148"/>
      <c r="AJ15" s="1148"/>
      <c r="AK15" s="1148"/>
      <c r="AL15" s="1148"/>
      <c r="AM15" s="1148"/>
      <c r="AN15" s="1148"/>
      <c r="AO15" s="1148"/>
      <c r="AP15" s="1148"/>
      <c r="AQ15" s="1148"/>
      <c r="AR15" s="1148"/>
      <c r="AS15" s="1148"/>
      <c r="AT15" s="1148"/>
      <c r="AU15" s="1148"/>
      <c r="AV15" s="1148"/>
      <c r="AW15" s="1148"/>
      <c r="AX15" s="1148"/>
      <c r="AY15" s="1148"/>
      <c r="AZ15" s="1148"/>
      <c r="BA15" s="1148"/>
      <c r="BB15" s="1148"/>
      <c r="BC15" s="1148"/>
      <c r="BD15" s="1148"/>
      <c r="BE15" s="1148"/>
      <c r="BF15" s="1148"/>
      <c r="BG15" s="1148"/>
      <c r="BH15" s="1148"/>
      <c r="BI15" s="1148"/>
      <c r="BJ15" s="1148"/>
      <c r="BK15" s="1148"/>
      <c r="BL15" s="1148"/>
      <c r="BM15" s="1148"/>
      <c r="BN15" s="1148"/>
      <c r="BO15" s="1148"/>
      <c r="BP15" s="1148"/>
      <c r="BQ15" s="1148"/>
      <c r="BR15" s="1148"/>
      <c r="BS15" s="1148"/>
      <c r="BT15" s="1148"/>
      <c r="BU15" s="1148"/>
      <c r="BV15" s="1148"/>
      <c r="BW15" s="1148"/>
      <c r="BX15" s="1148"/>
      <c r="BY15" s="1148"/>
      <c r="BZ15" s="1148"/>
      <c r="CA15" s="1148"/>
      <c r="CB15" s="1148"/>
      <c r="CC15" s="1148"/>
      <c r="CD15" s="1148"/>
      <c r="CE15" s="1148"/>
      <c r="CF15" s="1148"/>
      <c r="CG15" s="1148"/>
      <c r="CH15" s="1148"/>
      <c r="CI15" s="1148"/>
      <c r="CJ15" s="1148"/>
      <c r="CK15" s="1148"/>
      <c r="CL15" s="1148"/>
      <c r="CM15" s="1148"/>
      <c r="CN15" s="1148"/>
      <c r="CO15" s="1148"/>
      <c r="CP15" s="1148"/>
      <c r="CQ15" s="1148"/>
      <c r="CR15" s="1148"/>
      <c r="CS15" s="1148"/>
      <c r="CT15" s="1148"/>
      <c r="CU15" s="1148"/>
      <c r="CV15" s="1148"/>
      <c r="CW15" s="1148"/>
      <c r="CX15" s="1148"/>
      <c r="CY15" s="1148"/>
      <c r="CZ15" s="1148"/>
      <c r="DA15" s="1148"/>
      <c r="DB15" s="1148"/>
      <c r="DC15" s="1148"/>
      <c r="DD15" s="1148"/>
      <c r="DE15" s="1148"/>
      <c r="DF15" s="1148"/>
      <c r="DG15" s="1148"/>
      <c r="DH15" s="1148"/>
      <c r="DI15" s="1148"/>
      <c r="DJ15" s="1148"/>
      <c r="DK15" s="1148"/>
      <c r="DL15" s="1148"/>
      <c r="DM15" s="1148"/>
      <c r="DN15" s="1148"/>
      <c r="DO15" s="1148"/>
      <c r="DP15" s="1148"/>
      <c r="DQ15" s="1148"/>
      <c r="DR15" s="1148"/>
      <c r="DS15" s="1148"/>
      <c r="DT15" s="1148"/>
      <c r="DU15" s="1148"/>
      <c r="DV15" s="1148"/>
      <c r="DW15" s="1148"/>
      <c r="DX15" s="1148"/>
      <c r="DY15" s="1148"/>
      <c r="DZ15" s="1148"/>
      <c r="EA15" s="1148"/>
    </row>
    <row r="16" spans="1:131" s="1149" customFormat="1" ht="35.1" customHeight="1">
      <c r="A16" s="1541" t="s">
        <v>820</v>
      </c>
      <c r="B16" s="1215" t="s">
        <v>52</v>
      </c>
      <c r="C16" s="1215"/>
      <c r="D16" s="1187">
        <v>58916.123684062361</v>
      </c>
      <c r="E16" s="1188">
        <v>0</v>
      </c>
      <c r="F16" s="1188">
        <v>0.70900000000000007</v>
      </c>
      <c r="G16" s="1189">
        <v>0</v>
      </c>
      <c r="H16" s="1189">
        <v>5.2120000000000006</v>
      </c>
      <c r="I16" s="1190">
        <v>5.9210000000000012</v>
      </c>
      <c r="J16" s="1187">
        <v>383568.96999999991</v>
      </c>
      <c r="K16" s="1191">
        <v>0</v>
      </c>
      <c r="L16" s="1191">
        <v>0</v>
      </c>
      <c r="M16" s="1192">
        <v>383568.96999999991</v>
      </c>
      <c r="N16" s="1187">
        <v>3802539.4499999997</v>
      </c>
      <c r="O16" s="1191">
        <v>0</v>
      </c>
      <c r="P16" s="1191">
        <v>0</v>
      </c>
      <c r="Q16" s="1192">
        <v>3802539.4499999997</v>
      </c>
      <c r="R16" s="1187">
        <v>4186108.4199999995</v>
      </c>
      <c r="S16" s="1191">
        <v>0</v>
      </c>
      <c r="T16" s="1191">
        <v>0</v>
      </c>
      <c r="U16" s="1192">
        <v>4186108.4199999995</v>
      </c>
      <c r="V16" s="1148"/>
      <c r="W16" s="1150"/>
      <c r="X16" s="1148"/>
      <c r="Y16" s="1148"/>
      <c r="Z16" s="1148"/>
      <c r="AA16" s="1148"/>
      <c r="AB16" s="1148"/>
      <c r="AC16" s="1148"/>
      <c r="AD16" s="1148"/>
      <c r="AE16" s="1148"/>
      <c r="AF16" s="1148"/>
      <c r="AG16" s="1148"/>
      <c r="AH16" s="1148"/>
      <c r="AI16" s="1148"/>
      <c r="AJ16" s="1148"/>
      <c r="AK16" s="1148"/>
      <c r="AL16" s="1148"/>
      <c r="AM16" s="1148"/>
      <c r="AN16" s="1148"/>
      <c r="AO16" s="1148"/>
      <c r="AP16" s="1148"/>
      <c r="AQ16" s="1148"/>
      <c r="AR16" s="1148"/>
      <c r="AS16" s="1148"/>
      <c r="AT16" s="1148"/>
      <c r="AU16" s="1148"/>
      <c r="AV16" s="1148"/>
      <c r="AW16" s="1148"/>
      <c r="AX16" s="1148"/>
      <c r="AY16" s="1148"/>
      <c r="AZ16" s="1148"/>
      <c r="BA16" s="1148"/>
      <c r="BB16" s="1148"/>
      <c r="BC16" s="1148"/>
      <c r="BD16" s="1148"/>
      <c r="BE16" s="1148"/>
      <c r="BF16" s="1148"/>
      <c r="BG16" s="1148"/>
      <c r="BH16" s="1148"/>
      <c r="BI16" s="1148"/>
      <c r="BJ16" s="1148"/>
      <c r="BK16" s="1148"/>
      <c r="BL16" s="1148"/>
      <c r="BM16" s="1148"/>
      <c r="BN16" s="1148"/>
      <c r="BO16" s="1148"/>
      <c r="BP16" s="1148"/>
      <c r="BQ16" s="1148"/>
      <c r="BR16" s="1148"/>
      <c r="BS16" s="1148"/>
      <c r="BT16" s="1148"/>
      <c r="BU16" s="1148"/>
      <c r="BV16" s="1148"/>
      <c r="BW16" s="1148"/>
      <c r="BX16" s="1148"/>
      <c r="BY16" s="1148"/>
      <c r="BZ16" s="1148"/>
      <c r="CA16" s="1148"/>
      <c r="CB16" s="1148"/>
      <c r="CC16" s="1148"/>
      <c r="CD16" s="1148"/>
      <c r="CE16" s="1148"/>
      <c r="CF16" s="1148"/>
      <c r="CG16" s="1148"/>
      <c r="CH16" s="1148"/>
      <c r="CI16" s="1148"/>
      <c r="CJ16" s="1148"/>
      <c r="CK16" s="1148"/>
      <c r="CL16" s="1148"/>
      <c r="CM16" s="1148"/>
      <c r="CN16" s="1148"/>
      <c r="CO16" s="1148"/>
      <c r="CP16" s="1148"/>
      <c r="CQ16" s="1148"/>
      <c r="CR16" s="1148"/>
      <c r="CS16" s="1148"/>
      <c r="CT16" s="1148"/>
      <c r="CU16" s="1148"/>
      <c r="CV16" s="1148"/>
      <c r="CW16" s="1148"/>
      <c r="CX16" s="1148"/>
      <c r="CY16" s="1148"/>
      <c r="CZ16" s="1148"/>
      <c r="DA16" s="1148"/>
      <c r="DB16" s="1148"/>
      <c r="DC16" s="1148"/>
      <c r="DD16" s="1148"/>
      <c r="DE16" s="1148"/>
      <c r="DF16" s="1148"/>
      <c r="DG16" s="1148"/>
      <c r="DH16" s="1148"/>
      <c r="DI16" s="1148"/>
      <c r="DJ16" s="1148"/>
      <c r="DK16" s="1148"/>
      <c r="DL16" s="1148"/>
      <c r="DM16" s="1148"/>
      <c r="DN16" s="1148"/>
      <c r="DO16" s="1148"/>
      <c r="DP16" s="1148"/>
      <c r="DQ16" s="1148"/>
      <c r="DR16" s="1148"/>
      <c r="DS16" s="1148"/>
      <c r="DT16" s="1148"/>
      <c r="DU16" s="1148"/>
      <c r="DV16" s="1148"/>
      <c r="DW16" s="1148"/>
      <c r="DX16" s="1148"/>
      <c r="DY16" s="1148"/>
      <c r="DZ16" s="1148"/>
      <c r="EA16" s="1148"/>
    </row>
    <row r="17" spans="1:131" s="1149" customFormat="1" ht="35.1" customHeight="1">
      <c r="A17" s="1541"/>
      <c r="B17" s="1213" t="s">
        <v>800</v>
      </c>
      <c r="C17" s="1213"/>
      <c r="D17" s="1193">
        <v>29046.155013952201</v>
      </c>
      <c r="E17" s="1194">
        <v>0</v>
      </c>
      <c r="F17" s="1194">
        <v>38.576666666666668</v>
      </c>
      <c r="G17" s="1195">
        <v>0</v>
      </c>
      <c r="H17" s="1195">
        <v>38.711000000000013</v>
      </c>
      <c r="I17" s="1196">
        <v>77.287666666666681</v>
      </c>
      <c r="J17" s="1193">
        <v>5323964.18</v>
      </c>
      <c r="K17" s="1197">
        <v>0</v>
      </c>
      <c r="L17" s="1197">
        <v>0</v>
      </c>
      <c r="M17" s="1198">
        <v>5323964.18</v>
      </c>
      <c r="N17" s="1193">
        <v>21614950.380000003</v>
      </c>
      <c r="O17" s="1197">
        <v>0</v>
      </c>
      <c r="P17" s="1197">
        <v>0</v>
      </c>
      <c r="Q17" s="1198">
        <v>21614950.380000003</v>
      </c>
      <c r="R17" s="1193">
        <v>26938914.560000002</v>
      </c>
      <c r="S17" s="1197">
        <v>0</v>
      </c>
      <c r="T17" s="1197">
        <v>0</v>
      </c>
      <c r="U17" s="1198">
        <v>26938914.560000002</v>
      </c>
      <c r="V17" s="1148"/>
      <c r="W17" s="1150"/>
      <c r="X17" s="1148"/>
      <c r="Y17" s="1148"/>
      <c r="Z17" s="1148"/>
      <c r="AA17" s="1148"/>
      <c r="AB17" s="1148"/>
      <c r="AC17" s="1148"/>
      <c r="AD17" s="1148"/>
      <c r="AE17" s="1148"/>
      <c r="AF17" s="1148"/>
      <c r="AG17" s="1148"/>
      <c r="AH17" s="1148"/>
      <c r="AI17" s="1148"/>
      <c r="AJ17" s="1148"/>
      <c r="AK17" s="1148"/>
      <c r="AL17" s="1148"/>
      <c r="AM17" s="1148"/>
      <c r="AN17" s="1148"/>
      <c r="AO17" s="1148"/>
      <c r="AP17" s="1148"/>
      <c r="AQ17" s="1148"/>
      <c r="AR17" s="1148"/>
      <c r="AS17" s="1148"/>
      <c r="AT17" s="1148"/>
      <c r="AU17" s="1148"/>
      <c r="AV17" s="1148"/>
      <c r="AW17" s="1148"/>
      <c r="AX17" s="1148"/>
      <c r="AY17" s="1148"/>
      <c r="AZ17" s="1148"/>
      <c r="BA17" s="1148"/>
      <c r="BB17" s="1148"/>
      <c r="BC17" s="1148"/>
      <c r="BD17" s="1148"/>
      <c r="BE17" s="1148"/>
      <c r="BF17" s="1148"/>
      <c r="BG17" s="1148"/>
      <c r="BH17" s="1148"/>
      <c r="BI17" s="1148"/>
      <c r="BJ17" s="1148"/>
      <c r="BK17" s="1148"/>
      <c r="BL17" s="1148"/>
      <c r="BM17" s="1148"/>
      <c r="BN17" s="1148"/>
      <c r="BO17" s="1148"/>
      <c r="BP17" s="1148"/>
      <c r="BQ17" s="1148"/>
      <c r="BR17" s="1148"/>
      <c r="BS17" s="1148"/>
      <c r="BT17" s="1148"/>
      <c r="BU17" s="1148"/>
      <c r="BV17" s="1148"/>
      <c r="BW17" s="1148"/>
      <c r="BX17" s="1148"/>
      <c r="BY17" s="1148"/>
      <c r="BZ17" s="1148"/>
      <c r="CA17" s="1148"/>
      <c r="CB17" s="1148"/>
      <c r="CC17" s="1148"/>
      <c r="CD17" s="1148"/>
      <c r="CE17" s="1148"/>
      <c r="CF17" s="1148"/>
      <c r="CG17" s="1148"/>
      <c r="CH17" s="1148"/>
      <c r="CI17" s="1148"/>
      <c r="CJ17" s="1148"/>
      <c r="CK17" s="1148"/>
      <c r="CL17" s="1148"/>
      <c r="CM17" s="1148"/>
      <c r="CN17" s="1148"/>
      <c r="CO17" s="1148"/>
      <c r="CP17" s="1148"/>
      <c r="CQ17" s="1148"/>
      <c r="CR17" s="1148"/>
      <c r="CS17" s="1148"/>
      <c r="CT17" s="1148"/>
      <c r="CU17" s="1148"/>
      <c r="CV17" s="1148"/>
      <c r="CW17" s="1148"/>
      <c r="CX17" s="1148"/>
      <c r="CY17" s="1148"/>
      <c r="CZ17" s="1148"/>
      <c r="DA17" s="1148"/>
      <c r="DB17" s="1148"/>
      <c r="DC17" s="1148"/>
      <c r="DD17" s="1148"/>
      <c r="DE17" s="1148"/>
      <c r="DF17" s="1148"/>
      <c r="DG17" s="1148"/>
      <c r="DH17" s="1148"/>
      <c r="DI17" s="1148"/>
      <c r="DJ17" s="1148"/>
      <c r="DK17" s="1148"/>
      <c r="DL17" s="1148"/>
      <c r="DM17" s="1148"/>
      <c r="DN17" s="1148"/>
      <c r="DO17" s="1148"/>
      <c r="DP17" s="1148"/>
      <c r="DQ17" s="1148"/>
      <c r="DR17" s="1148"/>
      <c r="DS17" s="1148"/>
      <c r="DT17" s="1148"/>
      <c r="DU17" s="1148"/>
      <c r="DV17" s="1148"/>
      <c r="DW17" s="1148"/>
      <c r="DX17" s="1148"/>
      <c r="DY17" s="1148"/>
      <c r="DZ17" s="1148"/>
      <c r="EA17" s="1148"/>
    </row>
    <row r="18" spans="1:131" s="1149" customFormat="1" ht="35.1" customHeight="1">
      <c r="A18" s="1541"/>
      <c r="B18" s="1213" t="s">
        <v>801</v>
      </c>
      <c r="C18" s="1213"/>
      <c r="D18" s="1193">
        <v>0</v>
      </c>
      <c r="E18" s="1194">
        <v>0</v>
      </c>
      <c r="F18" s="1194">
        <v>0</v>
      </c>
      <c r="G18" s="1195">
        <v>0</v>
      </c>
      <c r="H18" s="1195">
        <v>0</v>
      </c>
      <c r="I18" s="1196">
        <v>0</v>
      </c>
      <c r="J18" s="1193">
        <v>0</v>
      </c>
      <c r="K18" s="1197">
        <v>0</v>
      </c>
      <c r="L18" s="1197">
        <v>2645547.5</v>
      </c>
      <c r="M18" s="1198">
        <v>2645547.5</v>
      </c>
      <c r="N18" s="1193">
        <v>0</v>
      </c>
      <c r="O18" s="1197">
        <v>0</v>
      </c>
      <c r="P18" s="1197">
        <v>14355416.499999998</v>
      </c>
      <c r="Q18" s="1198">
        <v>14355416.499999998</v>
      </c>
      <c r="R18" s="1193">
        <v>0</v>
      </c>
      <c r="S18" s="1197">
        <v>0</v>
      </c>
      <c r="T18" s="1197">
        <v>17000964</v>
      </c>
      <c r="U18" s="1198">
        <v>17000964</v>
      </c>
      <c r="V18" s="1148"/>
      <c r="W18" s="1150"/>
      <c r="X18" s="1148"/>
      <c r="Y18" s="1148"/>
      <c r="Z18" s="1148"/>
      <c r="AA18" s="1148"/>
      <c r="AB18" s="1148"/>
      <c r="AC18" s="1148"/>
      <c r="AD18" s="1148"/>
      <c r="AE18" s="1148"/>
      <c r="AF18" s="1148"/>
      <c r="AG18" s="1148"/>
      <c r="AH18" s="1148"/>
      <c r="AI18" s="1148"/>
      <c r="AJ18" s="1148"/>
      <c r="AK18" s="1148"/>
      <c r="AL18" s="1148"/>
      <c r="AM18" s="1148"/>
      <c r="AN18" s="1148"/>
      <c r="AO18" s="1148"/>
      <c r="AP18" s="1148"/>
      <c r="AQ18" s="1148"/>
      <c r="AR18" s="1148"/>
      <c r="AS18" s="1148"/>
      <c r="AT18" s="1148"/>
      <c r="AU18" s="1148"/>
      <c r="AV18" s="1148"/>
      <c r="AW18" s="1148"/>
      <c r="AX18" s="1148"/>
      <c r="AY18" s="1148"/>
      <c r="AZ18" s="1148"/>
      <c r="BA18" s="1148"/>
      <c r="BB18" s="1148"/>
      <c r="BC18" s="1148"/>
      <c r="BD18" s="1148"/>
      <c r="BE18" s="1148"/>
      <c r="BF18" s="1148"/>
      <c r="BG18" s="1148"/>
      <c r="BH18" s="1148"/>
      <c r="BI18" s="1148"/>
      <c r="BJ18" s="1148"/>
      <c r="BK18" s="1148"/>
      <c r="BL18" s="1148"/>
      <c r="BM18" s="1148"/>
      <c r="BN18" s="1148"/>
      <c r="BO18" s="1148"/>
      <c r="BP18" s="1148"/>
      <c r="BQ18" s="1148"/>
      <c r="BR18" s="1148"/>
      <c r="BS18" s="1148"/>
      <c r="BT18" s="1148"/>
      <c r="BU18" s="1148"/>
      <c r="BV18" s="1148"/>
      <c r="BW18" s="1148"/>
      <c r="BX18" s="1148"/>
      <c r="BY18" s="1148"/>
      <c r="BZ18" s="1148"/>
      <c r="CA18" s="1148"/>
      <c r="CB18" s="1148"/>
      <c r="CC18" s="1148"/>
      <c r="CD18" s="1148"/>
      <c r="CE18" s="1148"/>
      <c r="CF18" s="1148"/>
      <c r="CG18" s="1148"/>
      <c r="CH18" s="1148"/>
      <c r="CI18" s="1148"/>
      <c r="CJ18" s="1148"/>
      <c r="CK18" s="1148"/>
      <c r="CL18" s="1148"/>
      <c r="CM18" s="1148"/>
      <c r="CN18" s="1148"/>
      <c r="CO18" s="1148"/>
      <c r="CP18" s="1148"/>
      <c r="CQ18" s="1148"/>
      <c r="CR18" s="1148"/>
      <c r="CS18" s="1148"/>
      <c r="CT18" s="1148"/>
      <c r="CU18" s="1148"/>
      <c r="CV18" s="1148"/>
      <c r="CW18" s="1148"/>
      <c r="CX18" s="1148"/>
      <c r="CY18" s="1148"/>
      <c r="CZ18" s="1148"/>
      <c r="DA18" s="1148"/>
      <c r="DB18" s="1148"/>
      <c r="DC18" s="1148"/>
      <c r="DD18" s="1148"/>
      <c r="DE18" s="1148"/>
      <c r="DF18" s="1148"/>
      <c r="DG18" s="1148"/>
      <c r="DH18" s="1148"/>
      <c r="DI18" s="1148"/>
      <c r="DJ18" s="1148"/>
      <c r="DK18" s="1148"/>
      <c r="DL18" s="1148"/>
      <c r="DM18" s="1148"/>
      <c r="DN18" s="1148"/>
      <c r="DO18" s="1148"/>
      <c r="DP18" s="1148"/>
      <c r="DQ18" s="1148"/>
      <c r="DR18" s="1148"/>
      <c r="DS18" s="1148"/>
      <c r="DT18" s="1148"/>
      <c r="DU18" s="1148"/>
      <c r="DV18" s="1148"/>
      <c r="DW18" s="1148"/>
      <c r="DX18" s="1148"/>
      <c r="DY18" s="1148"/>
      <c r="DZ18" s="1148"/>
      <c r="EA18" s="1148"/>
    </row>
    <row r="19" spans="1:131" s="1149" customFormat="1" ht="35.1" customHeight="1">
      <c r="A19" s="1543"/>
      <c r="B19" s="1213" t="s">
        <v>802</v>
      </c>
      <c r="C19" s="1213"/>
      <c r="D19" s="1193">
        <v>31171.655777042452</v>
      </c>
      <c r="E19" s="1194">
        <v>0</v>
      </c>
      <c r="F19" s="1194">
        <v>39.285666666666671</v>
      </c>
      <c r="G19" s="1195">
        <v>0</v>
      </c>
      <c r="H19" s="1195">
        <v>43.923000000000016</v>
      </c>
      <c r="I19" s="1196">
        <v>83.208666666666687</v>
      </c>
      <c r="J19" s="1193">
        <v>5707533.1499999994</v>
      </c>
      <c r="K19" s="1197">
        <v>0</v>
      </c>
      <c r="L19" s="1197">
        <v>2645547.5</v>
      </c>
      <c r="M19" s="1198">
        <v>8353080.6499999994</v>
      </c>
      <c r="N19" s="1193">
        <v>25417489.830000002</v>
      </c>
      <c r="O19" s="1197">
        <v>0</v>
      </c>
      <c r="P19" s="1197">
        <v>14355416.499999998</v>
      </c>
      <c r="Q19" s="1198">
        <v>39772906.329999998</v>
      </c>
      <c r="R19" s="1193">
        <v>31125022.98</v>
      </c>
      <c r="S19" s="1197">
        <v>0</v>
      </c>
      <c r="T19" s="1197">
        <v>17000964</v>
      </c>
      <c r="U19" s="1198">
        <v>48125986.980000004</v>
      </c>
      <c r="V19" s="1150"/>
      <c r="W19" s="1150"/>
      <c r="X19" s="1148"/>
      <c r="Y19" s="1148"/>
      <c r="Z19" s="1148"/>
      <c r="AA19" s="1148"/>
      <c r="AB19" s="1148"/>
      <c r="AC19" s="1148"/>
      <c r="AD19" s="1148"/>
      <c r="AE19" s="1148"/>
      <c r="AF19" s="1148"/>
      <c r="AG19" s="1148"/>
      <c r="AH19" s="1148"/>
      <c r="AI19" s="1148"/>
      <c r="AJ19" s="1148"/>
      <c r="AK19" s="1148"/>
      <c r="AL19" s="1148"/>
      <c r="AM19" s="1148"/>
      <c r="AN19" s="1148"/>
      <c r="AO19" s="1148"/>
      <c r="AP19" s="1148"/>
      <c r="AQ19" s="1148"/>
      <c r="AR19" s="1148"/>
      <c r="AS19" s="1148"/>
      <c r="AT19" s="1148"/>
      <c r="AU19" s="1148"/>
      <c r="AV19" s="1148"/>
      <c r="AW19" s="1148"/>
      <c r="AX19" s="1148"/>
      <c r="AY19" s="1148"/>
      <c r="AZ19" s="1148"/>
      <c r="BA19" s="1148"/>
      <c r="BB19" s="1148"/>
      <c r="BC19" s="1148"/>
      <c r="BD19" s="1148"/>
      <c r="BE19" s="1148"/>
      <c r="BF19" s="1148"/>
      <c r="BG19" s="1148"/>
      <c r="BH19" s="1148"/>
      <c r="BI19" s="1148"/>
      <c r="BJ19" s="1148"/>
      <c r="BK19" s="1148"/>
      <c r="BL19" s="1148"/>
      <c r="BM19" s="1148"/>
      <c r="BN19" s="1148"/>
      <c r="BO19" s="1148"/>
      <c r="BP19" s="1148"/>
      <c r="BQ19" s="1148"/>
      <c r="BR19" s="1148"/>
      <c r="BS19" s="1148"/>
      <c r="BT19" s="1148"/>
      <c r="BU19" s="1148"/>
      <c r="BV19" s="1148"/>
      <c r="BW19" s="1148"/>
      <c r="BX19" s="1148"/>
      <c r="BY19" s="1148"/>
      <c r="BZ19" s="1148"/>
      <c r="CA19" s="1148"/>
      <c r="CB19" s="1148"/>
      <c r="CC19" s="1148"/>
      <c r="CD19" s="1148"/>
      <c r="CE19" s="1148"/>
      <c r="CF19" s="1148"/>
      <c r="CG19" s="1148"/>
      <c r="CH19" s="1148"/>
      <c r="CI19" s="1148"/>
      <c r="CJ19" s="1148"/>
      <c r="CK19" s="1148"/>
      <c r="CL19" s="1148"/>
      <c r="CM19" s="1148"/>
      <c r="CN19" s="1148"/>
      <c r="CO19" s="1148"/>
      <c r="CP19" s="1148"/>
      <c r="CQ19" s="1148"/>
      <c r="CR19" s="1148"/>
      <c r="CS19" s="1148"/>
      <c r="CT19" s="1148"/>
      <c r="CU19" s="1148"/>
      <c r="CV19" s="1148"/>
      <c r="CW19" s="1148"/>
      <c r="CX19" s="1148"/>
      <c r="CY19" s="1148"/>
      <c r="CZ19" s="1148"/>
      <c r="DA19" s="1148"/>
      <c r="DB19" s="1148"/>
      <c r="DC19" s="1148"/>
      <c r="DD19" s="1148"/>
      <c r="DE19" s="1148"/>
      <c r="DF19" s="1148"/>
      <c r="DG19" s="1148"/>
      <c r="DH19" s="1148"/>
      <c r="DI19" s="1148"/>
      <c r="DJ19" s="1148"/>
      <c r="DK19" s="1148"/>
      <c r="DL19" s="1148"/>
      <c r="DM19" s="1148"/>
      <c r="DN19" s="1148"/>
      <c r="DO19" s="1148"/>
      <c r="DP19" s="1148"/>
      <c r="DQ19" s="1148"/>
      <c r="DR19" s="1148"/>
      <c r="DS19" s="1148"/>
      <c r="DT19" s="1148"/>
      <c r="DU19" s="1148"/>
      <c r="DV19" s="1148"/>
      <c r="DW19" s="1148"/>
      <c r="DX19" s="1148"/>
      <c r="DY19" s="1148"/>
      <c r="DZ19" s="1148"/>
      <c r="EA19" s="1148"/>
    </row>
    <row r="20" spans="1:131" s="1149" customFormat="1" ht="35.1" customHeight="1">
      <c r="A20" s="1544" t="s">
        <v>803</v>
      </c>
      <c r="B20" s="1216" t="s">
        <v>52</v>
      </c>
      <c r="C20" s="1216"/>
      <c r="D20" s="1199">
        <v>61115.69466975666</v>
      </c>
      <c r="E20" s="1200">
        <v>0</v>
      </c>
      <c r="F20" s="1200">
        <v>1.1270000000000002</v>
      </c>
      <c r="G20" s="1201">
        <v>0</v>
      </c>
      <c r="H20" s="1201">
        <v>7.5030000000000001</v>
      </c>
      <c r="I20" s="1202">
        <v>8.6300000000000008</v>
      </c>
      <c r="J20" s="1199">
        <v>705023.95</v>
      </c>
      <c r="K20" s="1203">
        <v>0</v>
      </c>
      <c r="L20" s="1203">
        <v>0</v>
      </c>
      <c r="M20" s="1204">
        <v>705023.95</v>
      </c>
      <c r="N20" s="1199">
        <v>5624117.3899999997</v>
      </c>
      <c r="O20" s="1203">
        <v>0</v>
      </c>
      <c r="P20" s="1203">
        <v>0</v>
      </c>
      <c r="Q20" s="1204">
        <v>5624117.3899999997</v>
      </c>
      <c r="R20" s="1199">
        <v>6329141.3399999999</v>
      </c>
      <c r="S20" s="1203">
        <v>0</v>
      </c>
      <c r="T20" s="1203">
        <v>0</v>
      </c>
      <c r="U20" s="1204">
        <v>6329141.3399999999</v>
      </c>
      <c r="V20" s="1148"/>
      <c r="W20" s="1148"/>
      <c r="X20" s="1148"/>
      <c r="Y20" s="1148"/>
      <c r="Z20" s="1148"/>
      <c r="AA20" s="1148"/>
      <c r="AB20" s="1148"/>
      <c r="AC20" s="1148"/>
      <c r="AD20" s="1148"/>
      <c r="AE20" s="1148"/>
      <c r="AF20" s="1148"/>
      <c r="AG20" s="1148"/>
      <c r="AH20" s="1148"/>
      <c r="AI20" s="1148"/>
      <c r="AJ20" s="1148"/>
      <c r="AK20" s="1148"/>
      <c r="AL20" s="1148"/>
      <c r="AM20" s="1148"/>
      <c r="AN20" s="1148"/>
      <c r="AO20" s="1148"/>
      <c r="AP20" s="1148"/>
      <c r="AQ20" s="1148"/>
      <c r="AR20" s="1148"/>
      <c r="AS20" s="1148"/>
      <c r="AT20" s="1148"/>
      <c r="AU20" s="1148"/>
      <c r="AV20" s="1148"/>
      <c r="AW20" s="1148"/>
      <c r="AX20" s="1148"/>
      <c r="AY20" s="1148"/>
      <c r="AZ20" s="1148"/>
      <c r="BA20" s="1148"/>
      <c r="BB20" s="1148"/>
      <c r="BC20" s="1148"/>
      <c r="BD20" s="1148"/>
      <c r="BE20" s="1148"/>
      <c r="BF20" s="1148"/>
      <c r="BG20" s="1148"/>
      <c r="BH20" s="1148"/>
      <c r="BI20" s="1148"/>
      <c r="BJ20" s="1148"/>
      <c r="BK20" s="1148"/>
      <c r="BL20" s="1148"/>
      <c r="BM20" s="1148"/>
      <c r="BN20" s="1148"/>
      <c r="BO20" s="1148"/>
      <c r="BP20" s="1148"/>
      <c r="BQ20" s="1148"/>
      <c r="BR20" s="1148"/>
      <c r="BS20" s="1148"/>
      <c r="BT20" s="1148"/>
      <c r="BU20" s="1148"/>
      <c r="BV20" s="1148"/>
      <c r="BW20" s="1148"/>
      <c r="BX20" s="1148"/>
      <c r="BY20" s="1148"/>
      <c r="BZ20" s="1148"/>
      <c r="CA20" s="1148"/>
      <c r="CB20" s="1148"/>
      <c r="CC20" s="1148"/>
      <c r="CD20" s="1148"/>
      <c r="CE20" s="1148"/>
      <c r="CF20" s="1148"/>
      <c r="CG20" s="1148"/>
      <c r="CH20" s="1148"/>
      <c r="CI20" s="1148"/>
      <c r="CJ20" s="1148"/>
      <c r="CK20" s="1148"/>
      <c r="CL20" s="1148"/>
      <c r="CM20" s="1148"/>
      <c r="CN20" s="1148"/>
      <c r="CO20" s="1148"/>
      <c r="CP20" s="1148"/>
      <c r="CQ20" s="1148"/>
      <c r="CR20" s="1148"/>
      <c r="CS20" s="1148"/>
      <c r="CT20" s="1148"/>
      <c r="CU20" s="1148"/>
      <c r="CV20" s="1148"/>
      <c r="CW20" s="1148"/>
      <c r="CX20" s="1148"/>
      <c r="CY20" s="1148"/>
      <c r="CZ20" s="1148"/>
      <c r="DA20" s="1148"/>
      <c r="DB20" s="1148"/>
      <c r="DC20" s="1148"/>
      <c r="DD20" s="1148"/>
      <c r="DE20" s="1148"/>
      <c r="DF20" s="1148"/>
      <c r="DG20" s="1148"/>
      <c r="DH20" s="1148"/>
      <c r="DI20" s="1148"/>
      <c r="DJ20" s="1148"/>
      <c r="DK20" s="1148"/>
      <c r="DL20" s="1148"/>
      <c r="DM20" s="1148"/>
      <c r="DN20" s="1148"/>
      <c r="DO20" s="1148"/>
      <c r="DP20" s="1148"/>
      <c r="DQ20" s="1148"/>
      <c r="DR20" s="1148"/>
      <c r="DS20" s="1148"/>
      <c r="DT20" s="1148"/>
      <c r="DU20" s="1148"/>
      <c r="DV20" s="1148"/>
      <c r="DW20" s="1148"/>
      <c r="DX20" s="1148"/>
      <c r="DY20" s="1148"/>
      <c r="DZ20" s="1148"/>
      <c r="EA20" s="1148"/>
    </row>
    <row r="21" spans="1:131" s="1149" customFormat="1" ht="35.1" customHeight="1">
      <c r="A21" s="1545"/>
      <c r="B21" s="1217" t="s">
        <v>800</v>
      </c>
      <c r="C21" s="1217"/>
      <c r="D21" s="1193">
        <v>33231.875540275338</v>
      </c>
      <c r="E21" s="1194">
        <v>0</v>
      </c>
      <c r="F21" s="1194">
        <v>43.465666666666671</v>
      </c>
      <c r="G21" s="1195">
        <v>0</v>
      </c>
      <c r="H21" s="1195">
        <v>66.432000000000016</v>
      </c>
      <c r="I21" s="1196">
        <v>109.89766666666668</v>
      </c>
      <c r="J21" s="1193">
        <v>7856929.46</v>
      </c>
      <c r="K21" s="1197">
        <v>0</v>
      </c>
      <c r="L21" s="1197">
        <v>0</v>
      </c>
      <c r="M21" s="1198">
        <v>7856929.46</v>
      </c>
      <c r="N21" s="1193">
        <v>35968337.510000005</v>
      </c>
      <c r="O21" s="1197">
        <v>0</v>
      </c>
      <c r="P21" s="1197">
        <v>0</v>
      </c>
      <c r="Q21" s="1198">
        <v>35968337.510000005</v>
      </c>
      <c r="R21" s="1193">
        <v>43825266.969999999</v>
      </c>
      <c r="S21" s="1197">
        <v>0</v>
      </c>
      <c r="T21" s="1197">
        <v>0</v>
      </c>
      <c r="U21" s="1198">
        <v>43825266.969999999</v>
      </c>
      <c r="V21" s="1148"/>
      <c r="W21" s="1148"/>
      <c r="X21" s="1148"/>
      <c r="Y21" s="1148"/>
      <c r="Z21" s="1148"/>
      <c r="AA21" s="1148"/>
      <c r="AB21" s="1148"/>
      <c r="AC21" s="1148"/>
      <c r="AD21" s="1148"/>
      <c r="AE21" s="1148"/>
      <c r="AF21" s="1148"/>
      <c r="AG21" s="1148"/>
      <c r="AH21" s="1148"/>
      <c r="AI21" s="1148"/>
      <c r="AJ21" s="1148"/>
      <c r="AK21" s="1148"/>
      <c r="AL21" s="1148"/>
      <c r="AM21" s="1148"/>
      <c r="AN21" s="1148"/>
      <c r="AO21" s="1148"/>
      <c r="AP21" s="1148"/>
      <c r="AQ21" s="1148"/>
      <c r="AR21" s="1148"/>
      <c r="AS21" s="1148"/>
      <c r="AT21" s="1148"/>
      <c r="AU21" s="1148"/>
      <c r="AV21" s="1148"/>
      <c r="AW21" s="1148"/>
      <c r="AX21" s="1148"/>
      <c r="AY21" s="1148"/>
      <c r="AZ21" s="1148"/>
      <c r="BA21" s="1148"/>
      <c r="BB21" s="1148"/>
      <c r="BC21" s="1148"/>
      <c r="BD21" s="1148"/>
      <c r="BE21" s="1148"/>
      <c r="BF21" s="1148"/>
      <c r="BG21" s="1148"/>
      <c r="BH21" s="1148"/>
      <c r="BI21" s="1148"/>
      <c r="BJ21" s="1148"/>
      <c r="BK21" s="1148"/>
      <c r="BL21" s="1148"/>
      <c r="BM21" s="1148"/>
      <c r="BN21" s="1148"/>
      <c r="BO21" s="1148"/>
      <c r="BP21" s="1148"/>
      <c r="BQ21" s="1148"/>
      <c r="BR21" s="1148"/>
      <c r="BS21" s="1148"/>
      <c r="BT21" s="1148"/>
      <c r="BU21" s="1148"/>
      <c r="BV21" s="1148"/>
      <c r="BW21" s="1148"/>
      <c r="BX21" s="1148"/>
      <c r="BY21" s="1148"/>
      <c r="BZ21" s="1148"/>
      <c r="CA21" s="1148"/>
      <c r="CB21" s="1148"/>
      <c r="CC21" s="1148"/>
      <c r="CD21" s="1148"/>
      <c r="CE21" s="1148"/>
      <c r="CF21" s="1148"/>
      <c r="CG21" s="1148"/>
      <c r="CH21" s="1148"/>
      <c r="CI21" s="1148"/>
      <c r="CJ21" s="1148"/>
      <c r="CK21" s="1148"/>
      <c r="CL21" s="1148"/>
      <c r="CM21" s="1148"/>
      <c r="CN21" s="1148"/>
      <c r="CO21" s="1148"/>
      <c r="CP21" s="1148"/>
      <c r="CQ21" s="1148"/>
      <c r="CR21" s="1148"/>
      <c r="CS21" s="1148"/>
      <c r="CT21" s="1148"/>
      <c r="CU21" s="1148"/>
      <c r="CV21" s="1148"/>
      <c r="CW21" s="1148"/>
      <c r="CX21" s="1148"/>
      <c r="CY21" s="1148"/>
      <c r="CZ21" s="1148"/>
      <c r="DA21" s="1148"/>
      <c r="DB21" s="1148"/>
      <c r="DC21" s="1148"/>
      <c r="DD21" s="1148"/>
      <c r="DE21" s="1148"/>
      <c r="DF21" s="1148"/>
      <c r="DG21" s="1148"/>
      <c r="DH21" s="1148"/>
      <c r="DI21" s="1148"/>
      <c r="DJ21" s="1148"/>
      <c r="DK21" s="1148"/>
      <c r="DL21" s="1148"/>
      <c r="DM21" s="1148"/>
      <c r="DN21" s="1148"/>
      <c r="DO21" s="1148"/>
      <c r="DP21" s="1148"/>
      <c r="DQ21" s="1148"/>
      <c r="DR21" s="1148"/>
      <c r="DS21" s="1148"/>
      <c r="DT21" s="1148"/>
      <c r="DU21" s="1148"/>
      <c r="DV21" s="1148"/>
      <c r="DW21" s="1148"/>
      <c r="DX21" s="1148"/>
      <c r="DY21" s="1148"/>
      <c r="DZ21" s="1148"/>
      <c r="EA21" s="1148"/>
    </row>
    <row r="22" spans="1:131" s="1149" customFormat="1" ht="35.1" customHeight="1">
      <c r="A22" s="1545"/>
      <c r="B22" s="1217" t="s">
        <v>804</v>
      </c>
      <c r="C22" s="1217"/>
      <c r="D22" s="1193">
        <v>0</v>
      </c>
      <c r="E22" s="1194">
        <v>0</v>
      </c>
      <c r="F22" s="1194">
        <v>0</v>
      </c>
      <c r="G22" s="1195">
        <v>0</v>
      </c>
      <c r="H22" s="1195">
        <v>0</v>
      </c>
      <c r="I22" s="1196">
        <v>0</v>
      </c>
      <c r="J22" s="1193">
        <v>0</v>
      </c>
      <c r="K22" s="1197">
        <v>0</v>
      </c>
      <c r="L22" s="1197">
        <v>2861030.06</v>
      </c>
      <c r="M22" s="1198">
        <v>2861030.06</v>
      </c>
      <c r="N22" s="1193">
        <v>0</v>
      </c>
      <c r="O22" s="1197">
        <v>0</v>
      </c>
      <c r="P22" s="1197">
        <v>15576483.939999998</v>
      </c>
      <c r="Q22" s="1198">
        <v>15576483.939999998</v>
      </c>
      <c r="R22" s="1193">
        <v>0</v>
      </c>
      <c r="S22" s="1197">
        <v>0</v>
      </c>
      <c r="T22" s="1197">
        <v>18437514</v>
      </c>
      <c r="U22" s="1198">
        <v>18437514</v>
      </c>
      <c r="V22" s="1148"/>
      <c r="W22" s="1148"/>
      <c r="X22" s="1148"/>
      <c r="Y22" s="1148"/>
      <c r="Z22" s="1148"/>
      <c r="AA22" s="1148"/>
      <c r="AB22" s="1148"/>
      <c r="AC22" s="1148"/>
      <c r="AD22" s="1148"/>
      <c r="AE22" s="1148"/>
      <c r="AF22" s="1148"/>
      <c r="AG22" s="1148"/>
      <c r="AH22" s="1148"/>
      <c r="AI22" s="1148"/>
      <c r="AJ22" s="1148"/>
      <c r="AK22" s="1148"/>
      <c r="AL22" s="1148"/>
      <c r="AM22" s="1148"/>
      <c r="AN22" s="1148"/>
      <c r="AO22" s="1148"/>
      <c r="AP22" s="1148"/>
      <c r="AQ22" s="1148"/>
      <c r="AR22" s="1148"/>
      <c r="AS22" s="1148"/>
      <c r="AT22" s="1148"/>
      <c r="AU22" s="1148"/>
      <c r="AV22" s="1148"/>
      <c r="AW22" s="1148"/>
      <c r="AX22" s="1148"/>
      <c r="AY22" s="1148"/>
      <c r="AZ22" s="1148"/>
      <c r="BA22" s="1148"/>
      <c r="BB22" s="1148"/>
      <c r="BC22" s="1148"/>
      <c r="BD22" s="1148"/>
      <c r="BE22" s="1148"/>
      <c r="BF22" s="1148"/>
      <c r="BG22" s="1148"/>
      <c r="BH22" s="1148"/>
      <c r="BI22" s="1148"/>
      <c r="BJ22" s="1148"/>
      <c r="BK22" s="1148"/>
      <c r="BL22" s="1148"/>
      <c r="BM22" s="1148"/>
      <c r="BN22" s="1148"/>
      <c r="BO22" s="1148"/>
      <c r="BP22" s="1148"/>
      <c r="BQ22" s="1148"/>
      <c r="BR22" s="1148"/>
      <c r="BS22" s="1148"/>
      <c r="BT22" s="1148"/>
      <c r="BU22" s="1148"/>
      <c r="BV22" s="1148"/>
      <c r="BW22" s="1148"/>
      <c r="BX22" s="1148"/>
      <c r="BY22" s="1148"/>
      <c r="BZ22" s="1148"/>
      <c r="CA22" s="1148"/>
      <c r="CB22" s="1148"/>
      <c r="CC22" s="1148"/>
      <c r="CD22" s="1148"/>
      <c r="CE22" s="1148"/>
      <c r="CF22" s="1148"/>
      <c r="CG22" s="1148"/>
      <c r="CH22" s="1148"/>
      <c r="CI22" s="1148"/>
      <c r="CJ22" s="1148"/>
      <c r="CK22" s="1148"/>
      <c r="CL22" s="1148"/>
      <c r="CM22" s="1148"/>
      <c r="CN22" s="1148"/>
      <c r="CO22" s="1148"/>
      <c r="CP22" s="1148"/>
      <c r="CQ22" s="1148"/>
      <c r="CR22" s="1148"/>
      <c r="CS22" s="1148"/>
      <c r="CT22" s="1148"/>
      <c r="CU22" s="1148"/>
      <c r="CV22" s="1148"/>
      <c r="CW22" s="1148"/>
      <c r="CX22" s="1148"/>
      <c r="CY22" s="1148"/>
      <c r="CZ22" s="1148"/>
      <c r="DA22" s="1148"/>
      <c r="DB22" s="1148"/>
      <c r="DC22" s="1148"/>
      <c r="DD22" s="1148"/>
      <c r="DE22" s="1148"/>
      <c r="DF22" s="1148"/>
      <c r="DG22" s="1148"/>
      <c r="DH22" s="1148"/>
      <c r="DI22" s="1148"/>
      <c r="DJ22" s="1148"/>
      <c r="DK22" s="1148"/>
      <c r="DL22" s="1148"/>
      <c r="DM22" s="1148"/>
      <c r="DN22" s="1148"/>
      <c r="DO22" s="1148"/>
      <c r="DP22" s="1148"/>
      <c r="DQ22" s="1148"/>
      <c r="DR22" s="1148"/>
      <c r="DS22" s="1148"/>
      <c r="DT22" s="1148"/>
      <c r="DU22" s="1148"/>
      <c r="DV22" s="1148"/>
      <c r="DW22" s="1148"/>
      <c r="DX22" s="1148"/>
      <c r="DY22" s="1148"/>
      <c r="DZ22" s="1148"/>
      <c r="EA22" s="1148"/>
    </row>
    <row r="23" spans="1:131" s="1149" customFormat="1" ht="35.1" customHeight="1" thickBot="1">
      <c r="A23" s="1546"/>
      <c r="B23" s="1151" t="s">
        <v>802</v>
      </c>
      <c r="C23" s="1218"/>
      <c r="D23" s="1211">
        <v>35262.096549891299</v>
      </c>
      <c r="E23" s="1206">
        <v>0</v>
      </c>
      <c r="F23" s="1206">
        <v>44.592666666666673</v>
      </c>
      <c r="G23" s="1207">
        <v>0</v>
      </c>
      <c r="H23" s="1207">
        <v>73.935000000000016</v>
      </c>
      <c r="I23" s="1208">
        <v>118.52766666666669</v>
      </c>
      <c r="J23" s="1205">
        <v>8561953.4100000001</v>
      </c>
      <c r="K23" s="1209">
        <v>0</v>
      </c>
      <c r="L23" s="1209">
        <v>2861030.06</v>
      </c>
      <c r="M23" s="1210">
        <v>11422983.469999999</v>
      </c>
      <c r="N23" s="1205">
        <v>41592454.899999999</v>
      </c>
      <c r="O23" s="1209">
        <v>0</v>
      </c>
      <c r="P23" s="1209">
        <v>15576483.939999998</v>
      </c>
      <c r="Q23" s="1210">
        <v>57168938.839999996</v>
      </c>
      <c r="R23" s="1205">
        <v>50154408.310000002</v>
      </c>
      <c r="S23" s="1209">
        <v>0</v>
      </c>
      <c r="T23" s="1209">
        <v>18437514</v>
      </c>
      <c r="U23" s="1210">
        <v>68591922.310000002</v>
      </c>
      <c r="V23" s="1148"/>
      <c r="W23" s="1148"/>
      <c r="X23" s="1148"/>
      <c r="Y23" s="1148"/>
      <c r="Z23" s="1148"/>
      <c r="AA23" s="1148"/>
      <c r="AB23" s="1148"/>
      <c r="AC23" s="1148"/>
      <c r="AD23" s="1148"/>
      <c r="AE23" s="1148"/>
      <c r="AF23" s="1148"/>
      <c r="AG23" s="1148"/>
      <c r="AH23" s="1148"/>
      <c r="AI23" s="1148"/>
      <c r="AJ23" s="1148"/>
      <c r="AK23" s="1148"/>
      <c r="AL23" s="1148"/>
      <c r="AM23" s="1148"/>
      <c r="AN23" s="1148"/>
      <c r="AO23" s="1148"/>
      <c r="AP23" s="1148"/>
      <c r="AQ23" s="1148"/>
      <c r="AR23" s="1148"/>
      <c r="AS23" s="1148"/>
      <c r="AT23" s="1148"/>
      <c r="AU23" s="1148"/>
      <c r="AV23" s="1148"/>
      <c r="AW23" s="1148"/>
      <c r="AX23" s="1148"/>
      <c r="AY23" s="1148"/>
      <c r="AZ23" s="1148"/>
      <c r="BA23" s="1148"/>
      <c r="BB23" s="1148"/>
      <c r="BC23" s="1148"/>
      <c r="BD23" s="1148"/>
      <c r="BE23" s="1148"/>
      <c r="BF23" s="1148"/>
      <c r="BG23" s="1148"/>
      <c r="BH23" s="1148"/>
      <c r="BI23" s="1148"/>
      <c r="BJ23" s="1148"/>
      <c r="BK23" s="1148"/>
      <c r="BL23" s="1148"/>
      <c r="BM23" s="1148"/>
      <c r="BN23" s="1148"/>
      <c r="BO23" s="1148"/>
      <c r="BP23" s="1148"/>
      <c r="BQ23" s="1148"/>
      <c r="BR23" s="1148"/>
      <c r="BS23" s="1148"/>
      <c r="BT23" s="1148"/>
      <c r="BU23" s="1148"/>
      <c r="BV23" s="1148"/>
      <c r="BW23" s="1148"/>
      <c r="BX23" s="1148"/>
      <c r="BY23" s="1148"/>
      <c r="BZ23" s="1148"/>
      <c r="CA23" s="1148"/>
      <c r="CB23" s="1148"/>
      <c r="CC23" s="1148"/>
      <c r="CD23" s="1148"/>
      <c r="CE23" s="1148"/>
      <c r="CF23" s="1148"/>
      <c r="CG23" s="1148"/>
      <c r="CH23" s="1148"/>
      <c r="CI23" s="1148"/>
      <c r="CJ23" s="1148"/>
      <c r="CK23" s="1148"/>
      <c r="CL23" s="1148"/>
      <c r="CM23" s="1148"/>
      <c r="CN23" s="1148"/>
      <c r="CO23" s="1148"/>
      <c r="CP23" s="1148"/>
      <c r="CQ23" s="1148"/>
      <c r="CR23" s="1148"/>
      <c r="CS23" s="1148"/>
      <c r="CT23" s="1148"/>
      <c r="CU23" s="1148"/>
      <c r="CV23" s="1148"/>
      <c r="CW23" s="1148"/>
      <c r="CX23" s="1148"/>
      <c r="CY23" s="1148"/>
      <c r="CZ23" s="1148"/>
      <c r="DA23" s="1148"/>
      <c r="DB23" s="1148"/>
      <c r="DC23" s="1148"/>
      <c r="DD23" s="1148"/>
      <c r="DE23" s="1148"/>
      <c r="DF23" s="1148"/>
      <c r="DG23" s="1148"/>
      <c r="DH23" s="1148"/>
      <c r="DI23" s="1148"/>
      <c r="DJ23" s="1148"/>
      <c r="DK23" s="1148"/>
      <c r="DL23" s="1148"/>
      <c r="DM23" s="1148"/>
      <c r="DN23" s="1148"/>
      <c r="DO23" s="1148"/>
      <c r="DP23" s="1148"/>
      <c r="DQ23" s="1148"/>
      <c r="DR23" s="1148"/>
      <c r="DS23" s="1148"/>
      <c r="DT23" s="1148"/>
      <c r="DU23" s="1148"/>
      <c r="DV23" s="1148"/>
      <c r="DW23" s="1148"/>
      <c r="DX23" s="1148"/>
      <c r="DY23" s="1148"/>
      <c r="DZ23" s="1148"/>
      <c r="EA23" s="1148"/>
    </row>
    <row r="24" spans="1:131" s="1149" customFormat="1" ht="19.5" customHeight="1">
      <c r="A24" s="1152"/>
      <c r="B24" s="1153"/>
      <c r="C24" s="1153"/>
      <c r="D24" s="1153"/>
      <c r="E24" s="1153"/>
      <c r="F24" s="1154"/>
      <c r="G24" s="1154"/>
      <c r="H24" s="1154"/>
      <c r="I24" s="1154"/>
      <c r="J24" s="1154"/>
      <c r="K24" s="1154"/>
      <c r="L24" s="1153"/>
      <c r="M24" s="1153"/>
      <c r="N24" s="1154"/>
      <c r="O24" s="1154"/>
      <c r="P24" s="1155"/>
      <c r="Q24" s="1153"/>
      <c r="R24" s="1154"/>
      <c r="S24" s="1154"/>
      <c r="T24" s="1153"/>
      <c r="U24" s="1156"/>
      <c r="V24" s="1148"/>
      <c r="W24" s="1148"/>
      <c r="X24" s="1148"/>
      <c r="Y24" s="1148"/>
      <c r="Z24" s="1148"/>
      <c r="AA24" s="1148"/>
      <c r="AB24" s="1148"/>
      <c r="AC24" s="1148"/>
      <c r="AD24" s="1148"/>
      <c r="AE24" s="1148"/>
      <c r="AF24" s="1148"/>
      <c r="AG24" s="1148"/>
      <c r="AH24" s="1148"/>
      <c r="AI24" s="1148"/>
      <c r="AJ24" s="1148"/>
      <c r="AK24" s="1148"/>
      <c r="AL24" s="1148"/>
      <c r="AM24" s="1148"/>
      <c r="AN24" s="1148"/>
      <c r="AO24" s="1148"/>
      <c r="AP24" s="1148"/>
      <c r="AQ24" s="1148"/>
      <c r="AR24" s="1148"/>
      <c r="AS24" s="1148"/>
      <c r="AT24" s="1148"/>
      <c r="AU24" s="1148"/>
      <c r="AV24" s="1148"/>
      <c r="AW24" s="1148"/>
      <c r="AX24" s="1148"/>
      <c r="AY24" s="1148"/>
      <c r="AZ24" s="1148"/>
      <c r="BA24" s="1148"/>
      <c r="BB24" s="1148"/>
      <c r="BC24" s="1148"/>
      <c r="BD24" s="1148"/>
      <c r="BE24" s="1148"/>
      <c r="BF24" s="1148"/>
      <c r="BG24" s="1148"/>
      <c r="BH24" s="1148"/>
      <c r="BI24" s="1148"/>
      <c r="BJ24" s="1148"/>
      <c r="BK24" s="1148"/>
      <c r="BL24" s="1148"/>
      <c r="BM24" s="1148"/>
      <c r="BN24" s="1148"/>
      <c r="BO24" s="1148"/>
      <c r="BP24" s="1148"/>
      <c r="BQ24" s="1148"/>
      <c r="BR24" s="1148"/>
      <c r="BS24" s="1148"/>
      <c r="BT24" s="1148"/>
      <c r="BU24" s="1148"/>
      <c r="BV24" s="1148"/>
      <c r="BW24" s="1148"/>
      <c r="BX24" s="1148"/>
      <c r="BY24" s="1148"/>
      <c r="BZ24" s="1148"/>
      <c r="CA24" s="1148"/>
      <c r="CB24" s="1148"/>
      <c r="CC24" s="1148"/>
      <c r="CD24" s="1148"/>
      <c r="CE24" s="1148"/>
      <c r="CF24" s="1148"/>
      <c r="CG24" s="1148"/>
      <c r="CH24" s="1148"/>
      <c r="CI24" s="1148"/>
      <c r="CJ24" s="1148"/>
      <c r="CK24" s="1148"/>
      <c r="CL24" s="1148"/>
      <c r="CM24" s="1148"/>
      <c r="CN24" s="1148"/>
      <c r="CO24" s="1148"/>
      <c r="CP24" s="1148"/>
      <c r="CQ24" s="1148"/>
      <c r="CR24" s="1148"/>
      <c r="CS24" s="1148"/>
      <c r="CT24" s="1148"/>
      <c r="CU24" s="1148"/>
      <c r="CV24" s="1148"/>
      <c r="CW24" s="1148"/>
      <c r="CX24" s="1148"/>
      <c r="CY24" s="1148"/>
      <c r="CZ24" s="1148"/>
      <c r="DA24" s="1148"/>
      <c r="DB24" s="1148"/>
      <c r="DC24" s="1148"/>
      <c r="DD24" s="1148"/>
      <c r="DE24" s="1148"/>
      <c r="DF24" s="1148"/>
      <c r="DG24" s="1148"/>
      <c r="DH24" s="1148"/>
      <c r="DI24" s="1148"/>
      <c r="DJ24" s="1148"/>
      <c r="DK24" s="1148"/>
      <c r="DL24" s="1148"/>
      <c r="DM24" s="1148"/>
      <c r="DN24" s="1148"/>
      <c r="DO24" s="1148"/>
      <c r="DP24" s="1148"/>
      <c r="DQ24" s="1148"/>
      <c r="DR24" s="1148"/>
      <c r="DS24" s="1148"/>
      <c r="DT24" s="1148"/>
      <c r="DU24" s="1148"/>
      <c r="DV24" s="1148"/>
      <c r="DW24" s="1148"/>
      <c r="DX24" s="1148"/>
      <c r="DY24" s="1148"/>
      <c r="DZ24" s="1148"/>
      <c r="EA24" s="1148"/>
    </row>
    <row r="25" spans="1:131" s="1157" customFormat="1" ht="40.5" customHeight="1">
      <c r="A25" s="1536" t="s">
        <v>805</v>
      </c>
      <c r="B25" s="1536"/>
      <c r="C25" s="1536"/>
      <c r="D25" s="1536"/>
      <c r="E25" s="1536"/>
      <c r="F25" s="1536"/>
      <c r="G25" s="1536"/>
      <c r="H25" s="1536"/>
      <c r="I25" s="1536"/>
      <c r="J25" s="1536"/>
      <c r="K25" s="1536"/>
      <c r="L25" s="1536"/>
      <c r="M25" s="1536"/>
      <c r="N25" s="1536"/>
      <c r="O25" s="1536"/>
      <c r="P25" s="1536"/>
      <c r="Q25" s="1536"/>
      <c r="R25" s="1536"/>
      <c r="S25" s="1536"/>
      <c r="T25" s="1536"/>
      <c r="U25" s="1536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</row>
    <row r="26" spans="1:131" s="1157" customFormat="1" ht="30" customHeight="1">
      <c r="A26" s="1158" t="s">
        <v>806</v>
      </c>
      <c r="B26" s="1158"/>
      <c r="C26" s="1158"/>
      <c r="D26" s="1158"/>
      <c r="E26" s="1158"/>
      <c r="F26" s="1158"/>
      <c r="G26" s="1158"/>
      <c r="H26" s="1158"/>
      <c r="I26" s="1158"/>
      <c r="J26" s="1159"/>
      <c r="K26" s="1159"/>
      <c r="L26" s="1159"/>
      <c r="M26" s="1160"/>
      <c r="N26" s="1159"/>
      <c r="O26" s="1159"/>
      <c r="P26" s="1159"/>
      <c r="Q26" s="1159"/>
      <c r="R26" s="1159"/>
      <c r="S26" s="1161"/>
      <c r="T26" s="1161"/>
      <c r="U26" s="1161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</row>
    <row r="27" spans="1:131" s="1157" customFormat="1" ht="30" customHeight="1">
      <c r="A27" s="1158" t="s">
        <v>807</v>
      </c>
      <c r="B27" s="1158"/>
      <c r="C27" s="1158"/>
      <c r="D27" s="1158"/>
      <c r="E27" s="1158"/>
      <c r="F27" s="1158"/>
      <c r="G27" s="1158"/>
      <c r="H27" s="1158"/>
      <c r="I27" s="1158"/>
      <c r="J27" s="1158"/>
      <c r="K27" s="1158"/>
      <c r="L27" s="1158"/>
      <c r="M27" s="1162"/>
      <c r="N27" s="1158"/>
      <c r="O27" s="1158"/>
      <c r="P27" s="1158"/>
      <c r="Q27" s="1158"/>
      <c r="R27" s="1158"/>
      <c r="S27" s="1158"/>
      <c r="T27" s="1158"/>
      <c r="U27" s="1163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</row>
    <row r="28" spans="1:131" s="1157" customFormat="1" ht="30" customHeight="1">
      <c r="A28" s="1158" t="s">
        <v>808</v>
      </c>
      <c r="B28" s="1158"/>
      <c r="C28" s="1158"/>
      <c r="D28" s="1158"/>
      <c r="E28" s="1158"/>
      <c r="F28" s="1158"/>
      <c r="G28" s="1158"/>
      <c r="H28" s="1158"/>
      <c r="I28" s="1158"/>
      <c r="J28" s="1159"/>
      <c r="K28" s="1159"/>
      <c r="L28" s="1159"/>
      <c r="M28" s="1160"/>
      <c r="N28" s="1159"/>
      <c r="O28" s="1160"/>
      <c r="P28" s="1159"/>
      <c r="Q28" s="1159"/>
      <c r="R28" s="1159"/>
      <c r="S28" s="1164"/>
      <c r="T28" s="1164"/>
      <c r="U28" s="1164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</row>
    <row r="29" spans="1:131" s="1157" customFormat="1" ht="30" customHeight="1">
      <c r="A29" s="1159" t="s">
        <v>809</v>
      </c>
      <c r="B29" s="1164"/>
      <c r="C29" s="1164"/>
      <c r="D29" s="1164"/>
      <c r="E29" s="1164"/>
      <c r="F29" s="1164"/>
      <c r="G29" s="1164"/>
      <c r="H29" s="1164"/>
      <c r="I29" s="1164"/>
      <c r="J29" s="1164"/>
      <c r="K29" s="1164"/>
      <c r="L29" s="1164"/>
      <c r="M29" s="1164"/>
      <c r="N29" s="1164"/>
      <c r="O29" s="1164"/>
      <c r="P29" s="1164"/>
      <c r="Q29" s="1164"/>
      <c r="R29" s="1164"/>
      <c r="S29" s="1161"/>
      <c r="T29" s="1161"/>
      <c r="U29" s="1161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</row>
    <row r="30" spans="1:131" s="1157" customFormat="1" ht="30" customHeight="1">
      <c r="A30" s="1165" t="s">
        <v>810</v>
      </c>
      <c r="B30" s="1166"/>
      <c r="C30" s="1166"/>
      <c r="D30" s="1166"/>
      <c r="E30" s="1166"/>
      <c r="F30" s="1166"/>
      <c r="G30" s="1166"/>
      <c r="H30" s="1166"/>
      <c r="I30" s="1166"/>
      <c r="J30" s="1166"/>
      <c r="K30" s="1166"/>
      <c r="L30" s="1166"/>
      <c r="M30" s="1160"/>
      <c r="N30" s="1159"/>
      <c r="O30" s="1159"/>
      <c r="P30" s="1159"/>
      <c r="Q30" s="1159"/>
      <c r="R30" s="1159"/>
      <c r="S30" s="1161"/>
      <c r="T30" s="1161"/>
      <c r="U30" s="1161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</row>
    <row r="31" spans="1:131" s="1157" customFormat="1" ht="30" customHeight="1">
      <c r="A31" s="1158" t="s">
        <v>811</v>
      </c>
      <c r="B31" s="1167"/>
      <c r="C31" s="1167"/>
      <c r="D31" s="1167"/>
      <c r="E31" s="1167"/>
      <c r="F31" s="1167"/>
      <c r="G31" s="1167"/>
      <c r="H31" s="1167"/>
      <c r="I31" s="1167"/>
      <c r="J31" s="1167"/>
      <c r="K31" s="1167"/>
      <c r="L31" s="1167"/>
      <c r="M31" s="1159"/>
      <c r="N31" s="1159"/>
      <c r="O31" s="1159"/>
      <c r="P31" s="1159"/>
      <c r="Q31" s="1159"/>
      <c r="R31" s="1159"/>
      <c r="S31" s="1161"/>
      <c r="T31" s="1161"/>
      <c r="U31" s="1161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</row>
    <row r="32" spans="1:131" s="1157" customFormat="1" ht="30" customHeight="1">
      <c r="A32" s="1158" t="s">
        <v>812</v>
      </c>
      <c r="B32" s="1159"/>
      <c r="C32" s="1159"/>
      <c r="D32" s="1159"/>
      <c r="E32" s="1159"/>
      <c r="F32" s="1159"/>
      <c r="G32" s="1159"/>
      <c r="H32" s="1159"/>
      <c r="I32" s="1159"/>
      <c r="J32" s="1159"/>
      <c r="K32" s="1159"/>
      <c r="L32" s="1159"/>
      <c r="M32" s="1159"/>
      <c r="N32" s="1159"/>
      <c r="O32" s="1159"/>
      <c r="P32" s="1159"/>
      <c r="Q32" s="1159"/>
      <c r="R32" s="1159"/>
      <c r="S32" s="1161"/>
      <c r="T32" s="1161"/>
      <c r="U32" s="1161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</row>
    <row r="33" spans="1:131" s="1157" customFormat="1" ht="30" customHeight="1">
      <c r="A33" s="1165" t="s">
        <v>813</v>
      </c>
      <c r="B33" s="1166"/>
      <c r="C33" s="1166"/>
      <c r="D33" s="1159"/>
      <c r="E33" s="1159"/>
      <c r="F33" s="1159"/>
      <c r="G33" s="1159"/>
      <c r="H33" s="1159"/>
      <c r="I33" s="1159"/>
      <c r="J33" s="1159"/>
      <c r="K33" s="1159"/>
      <c r="L33" s="1159"/>
      <c r="M33" s="1159"/>
      <c r="N33" s="1159"/>
      <c r="O33" s="1159"/>
      <c r="P33" s="1159"/>
      <c r="Q33" s="1159"/>
      <c r="R33" s="1159"/>
      <c r="S33" s="1161"/>
      <c r="T33" s="1161"/>
      <c r="U33" s="1161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</row>
    <row r="34" spans="1:131" s="1157" customFormat="1" ht="30" customHeight="1">
      <c r="A34" s="1168" t="s">
        <v>728</v>
      </c>
      <c r="B34" s="1159"/>
      <c r="C34" s="1159"/>
      <c r="D34" s="1159"/>
      <c r="E34" s="1159"/>
      <c r="F34" s="1159"/>
      <c r="G34" s="1159"/>
      <c r="H34" s="1159"/>
      <c r="I34" s="1159"/>
      <c r="J34" s="1159"/>
      <c r="K34" s="1159"/>
      <c r="L34" s="1159"/>
      <c r="M34" s="1159"/>
      <c r="N34" s="1159"/>
      <c r="O34" s="1159"/>
      <c r="P34" s="1159"/>
      <c r="Q34" s="1159"/>
      <c r="R34" s="1159"/>
      <c r="S34" s="1161"/>
      <c r="T34" s="1161"/>
      <c r="U34" s="1161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</row>
    <row r="35" spans="1:131" s="1157" customFormat="1" ht="30" customHeight="1">
      <c r="A35" s="1168" t="s">
        <v>814</v>
      </c>
      <c r="B35" s="1159"/>
      <c r="C35" s="1159"/>
      <c r="D35" s="1159"/>
      <c r="E35" s="1159"/>
      <c r="F35" s="1159"/>
      <c r="G35" s="1159"/>
      <c r="H35" s="1159"/>
      <c r="I35" s="1159"/>
      <c r="J35" s="1159"/>
      <c r="K35" s="1159"/>
      <c r="L35" s="1159"/>
      <c r="M35" s="1159"/>
      <c r="N35" s="1159"/>
      <c r="O35" s="1159"/>
      <c r="P35" s="1159"/>
      <c r="Q35" s="1159"/>
      <c r="R35" s="1159"/>
      <c r="S35" s="1161"/>
      <c r="T35" s="1161"/>
      <c r="U35" s="1161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</row>
    <row r="36" spans="1:131" s="1157" customFormat="1" ht="63.75" customHeight="1">
      <c r="A36" s="1169"/>
      <c r="B36" s="1159"/>
      <c r="C36" s="1159"/>
      <c r="D36" s="1159"/>
      <c r="E36" s="1159"/>
      <c r="F36" s="1159"/>
      <c r="G36" s="1159"/>
      <c r="H36" s="1159"/>
      <c r="I36" s="1159"/>
      <c r="J36" s="1159"/>
      <c r="K36" s="1159"/>
      <c r="L36" s="1159"/>
      <c r="M36" s="1159"/>
      <c r="N36" s="1159"/>
      <c r="O36" s="1159"/>
      <c r="P36" s="1159"/>
      <c r="Q36" s="1159"/>
      <c r="R36" s="1159"/>
      <c r="S36" s="1161"/>
      <c r="T36" s="1161"/>
      <c r="U36" s="1161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</row>
    <row r="37" spans="1:131" s="1182" customFormat="1" ht="23.25" customHeight="1">
      <c r="A37" s="1178" t="s">
        <v>815</v>
      </c>
      <c r="B37" s="1178"/>
      <c r="C37" s="1178"/>
      <c r="D37" s="1178"/>
      <c r="E37" s="1178"/>
      <c r="F37" s="1178"/>
      <c r="G37" s="1178"/>
      <c r="H37" s="1183" t="s">
        <v>816</v>
      </c>
      <c r="I37" s="1183"/>
      <c r="J37" s="1183"/>
      <c r="K37" s="1183"/>
      <c r="L37" s="1179"/>
      <c r="M37" s="1179"/>
      <c r="N37" s="1179"/>
      <c r="O37" s="1179"/>
      <c r="Q37" s="1179"/>
      <c r="R37" s="1179" t="s">
        <v>817</v>
      </c>
      <c r="S37" s="1180"/>
      <c r="T37" s="1180"/>
      <c r="U37" s="1180"/>
      <c r="V37" s="1181"/>
      <c r="W37" s="1181"/>
      <c r="X37" s="1181"/>
      <c r="Y37" s="1181"/>
      <c r="Z37" s="1181"/>
      <c r="AA37" s="1181"/>
      <c r="AB37" s="1181"/>
      <c r="AC37" s="1181"/>
      <c r="AD37" s="1181"/>
      <c r="AE37" s="1181"/>
      <c r="AF37" s="1181"/>
      <c r="AG37" s="1181"/>
      <c r="AH37" s="1181"/>
      <c r="AI37" s="1181"/>
      <c r="AJ37" s="1181"/>
      <c r="AK37" s="1181"/>
      <c r="AL37" s="1181"/>
      <c r="AM37" s="1181"/>
      <c r="AN37" s="1181"/>
      <c r="AO37" s="1181"/>
      <c r="AP37" s="1181"/>
      <c r="AQ37" s="1181"/>
      <c r="AR37" s="1181"/>
      <c r="AS37" s="1181"/>
      <c r="AT37" s="1181"/>
      <c r="AU37" s="1181"/>
      <c r="AV37" s="1181"/>
      <c r="AW37" s="1181"/>
      <c r="AX37" s="1181"/>
      <c r="AY37" s="1181"/>
      <c r="AZ37" s="1181"/>
      <c r="BA37" s="1181"/>
      <c r="BB37" s="1181"/>
      <c r="BC37" s="1181"/>
      <c r="BD37" s="1181"/>
      <c r="BE37" s="1181"/>
      <c r="BF37" s="1181"/>
      <c r="BG37" s="1181"/>
      <c r="BH37" s="1181"/>
      <c r="BI37" s="1181"/>
      <c r="BJ37" s="1181"/>
      <c r="BK37" s="1181"/>
      <c r="BL37" s="1181"/>
      <c r="BM37" s="1181"/>
      <c r="BN37" s="1181"/>
      <c r="BO37" s="1181"/>
      <c r="BP37" s="1181"/>
      <c r="BQ37" s="1181"/>
      <c r="BR37" s="1181"/>
      <c r="BS37" s="1181"/>
      <c r="BT37" s="1181"/>
      <c r="BU37" s="1181"/>
      <c r="BV37" s="1181"/>
      <c r="BW37" s="1181"/>
      <c r="BX37" s="1181"/>
      <c r="BY37" s="1181"/>
      <c r="BZ37" s="1181"/>
      <c r="CA37" s="1181"/>
      <c r="CB37" s="1181"/>
      <c r="CC37" s="1181"/>
      <c r="CD37" s="1181"/>
      <c r="CE37" s="1181"/>
      <c r="CF37" s="1181"/>
      <c r="CG37" s="1181"/>
      <c r="CH37" s="1181"/>
      <c r="CI37" s="1181"/>
      <c r="CJ37" s="1181"/>
      <c r="CK37" s="1181"/>
      <c r="CL37" s="1181"/>
      <c r="CM37" s="1181"/>
      <c r="CN37" s="1181"/>
      <c r="CO37" s="1181"/>
      <c r="CP37" s="1181"/>
      <c r="CQ37" s="1181"/>
      <c r="CR37" s="1181"/>
      <c r="CS37" s="1181"/>
      <c r="CT37" s="1181"/>
      <c r="CU37" s="1181"/>
      <c r="CV37" s="1181"/>
      <c r="CW37" s="1181"/>
      <c r="CX37" s="1181"/>
      <c r="CY37" s="1181"/>
      <c r="CZ37" s="1181"/>
      <c r="DA37" s="1181"/>
      <c r="DB37" s="1181"/>
      <c r="DC37" s="1181"/>
      <c r="DD37" s="1181"/>
      <c r="DE37" s="1181"/>
      <c r="DF37" s="1181"/>
      <c r="DG37" s="1181"/>
      <c r="DH37" s="1181"/>
      <c r="DI37" s="1181"/>
      <c r="DJ37" s="1181"/>
      <c r="DK37" s="1181"/>
      <c r="DL37" s="1181"/>
      <c r="DM37" s="1181"/>
      <c r="DN37" s="1181"/>
      <c r="DO37" s="1181"/>
      <c r="DP37" s="1181"/>
      <c r="DQ37" s="1181"/>
      <c r="DR37" s="1181"/>
      <c r="DS37" s="1181"/>
      <c r="DT37" s="1181"/>
      <c r="DU37" s="1181"/>
      <c r="DV37" s="1181"/>
      <c r="DW37" s="1181"/>
      <c r="DX37" s="1181"/>
      <c r="DY37" s="1181"/>
      <c r="DZ37" s="1181"/>
      <c r="EA37" s="1181"/>
    </row>
    <row r="38" spans="1:131" s="1157" customFormat="1" ht="25.5" customHeight="1">
      <c r="A38" s="1170"/>
      <c r="B38" s="1170"/>
      <c r="C38" s="1170"/>
      <c r="D38" s="1170"/>
      <c r="E38" s="1170"/>
      <c r="F38" s="1170"/>
      <c r="G38" s="1170"/>
      <c r="H38" s="1172"/>
      <c r="I38" s="1172"/>
      <c r="J38" s="1172"/>
      <c r="K38" s="1172"/>
      <c r="L38" s="1171"/>
      <c r="M38" s="1171"/>
      <c r="N38" s="1171"/>
      <c r="O38" s="1171"/>
      <c r="P38" s="1171"/>
      <c r="Q38" s="1171"/>
      <c r="R38" s="1171"/>
      <c r="S38" s="1161"/>
      <c r="T38" s="1161"/>
      <c r="U38" s="1161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</row>
    <row r="39" spans="1:131" s="1157" customFormat="1" ht="24.75" customHeight="1">
      <c r="A39" s="1173"/>
      <c r="B39" s="1174"/>
      <c r="C39" s="1174"/>
      <c r="D39" s="1175"/>
      <c r="E39" s="1176"/>
      <c r="F39" s="1177"/>
      <c r="G39" s="1177"/>
      <c r="H39" s="1177"/>
      <c r="I39" s="1177"/>
      <c r="J39" s="1176"/>
      <c r="K39" s="1176"/>
      <c r="L39" s="1176"/>
      <c r="M39" s="1176"/>
      <c r="N39" s="1176"/>
      <c r="O39" s="1176"/>
      <c r="P39" s="1176"/>
      <c r="Q39" s="1176"/>
      <c r="R39" s="1176"/>
      <c r="S39" s="1176"/>
      <c r="T39" s="1176"/>
      <c r="U39" s="1176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</row>
    <row r="43" spans="1:131" ht="20.25">
      <c r="A43" s="1169"/>
    </row>
    <row r="44" spans="1:131" ht="20.25">
      <c r="A44" s="1169"/>
    </row>
  </sheetData>
  <mergeCells count="33">
    <mergeCell ref="A1:U1"/>
    <mergeCell ref="T2:U2"/>
    <mergeCell ref="A4:U4"/>
    <mergeCell ref="A6:A11"/>
    <mergeCell ref="B6:B11"/>
    <mergeCell ref="C6:C11"/>
    <mergeCell ref="D6:D10"/>
    <mergeCell ref="E6:E10"/>
    <mergeCell ref="F6:I7"/>
    <mergeCell ref="J6:U6"/>
    <mergeCell ref="J7:M7"/>
    <mergeCell ref="N7:Q7"/>
    <mergeCell ref="R7:U7"/>
    <mergeCell ref="F8:F10"/>
    <mergeCell ref="G8:G10"/>
    <mergeCell ref="H8:H10"/>
    <mergeCell ref="A25:U25"/>
    <mergeCell ref="S8:S10"/>
    <mergeCell ref="T8:T10"/>
    <mergeCell ref="U8:U10"/>
    <mergeCell ref="A12:A15"/>
    <mergeCell ref="A16:A19"/>
    <mergeCell ref="A20:A23"/>
    <mergeCell ref="M8:M10"/>
    <mergeCell ref="N8:N10"/>
    <mergeCell ref="O8:O10"/>
    <mergeCell ref="P8:P10"/>
    <mergeCell ref="Q8:Q10"/>
    <mergeCell ref="R8:R10"/>
    <mergeCell ref="I8:I10"/>
    <mergeCell ref="J8:J10"/>
    <mergeCell ref="K8:K10"/>
    <mergeCell ref="L8:L10"/>
  </mergeCells>
  <printOptions horizontalCentered="1"/>
  <pageMargins left="0.19685039370078741" right="0.19685039370078741" top="0.78740157480314965" bottom="0.78740157480314965" header="0.70866141732283472" footer="0.39370078740157483"/>
  <pageSetup paperSize="9" scale="34" orientation="landscape" r:id="rId1"/>
  <headerFooter>
    <oddFooter xml:space="preserve">&amp;C&amp;18&amp;P+24&amp;10
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EA84"/>
  <sheetViews>
    <sheetView showGridLines="0" view="pageBreakPreview" zoomScale="60" zoomScaleNormal="53" workbookViewId="0">
      <selection activeCell="A77" sqref="A77:XFD77"/>
    </sheetView>
  </sheetViews>
  <sheetFormatPr defaultColWidth="9.140625" defaultRowHeight="15"/>
  <cols>
    <col min="1" max="1" width="57" style="29" customWidth="1"/>
    <col min="2" max="2" width="35.5703125" style="29" customWidth="1"/>
    <col min="3" max="3" width="16.85546875" style="29" customWidth="1"/>
    <col min="4" max="4" width="15.140625" style="29" customWidth="1"/>
    <col min="5" max="5" width="15.5703125" style="29" customWidth="1"/>
    <col min="6" max="6" width="22.7109375" style="29" customWidth="1"/>
    <col min="7" max="7" width="16.7109375" style="29" customWidth="1"/>
    <col min="8" max="8" width="19.28515625" style="29" customWidth="1"/>
    <col min="9" max="9" width="14.5703125" style="29" customWidth="1"/>
    <col min="10" max="10" width="16.140625" style="29" customWidth="1"/>
    <col min="11" max="11" width="14.42578125" style="29" customWidth="1"/>
    <col min="12" max="12" width="19.28515625" style="29" customWidth="1"/>
    <col min="13" max="13" width="16.5703125" style="29" customWidth="1"/>
    <col min="14" max="14" width="16" style="29" customWidth="1"/>
    <col min="15" max="15" width="15.42578125" style="29" customWidth="1"/>
    <col min="16" max="16" width="19.28515625" style="29" customWidth="1"/>
    <col min="17" max="17" width="21" style="29" customWidth="1"/>
    <col min="18" max="18" width="16.140625" style="29" customWidth="1"/>
    <col min="19" max="19" width="13.7109375" style="29" customWidth="1"/>
    <col min="20" max="20" width="19.28515625" style="29" customWidth="1"/>
    <col min="21" max="21" width="21.140625" style="29" customWidth="1"/>
    <col min="22" max="22" width="13.5703125" style="32" bestFit="1" customWidth="1"/>
    <col min="23" max="131" width="9.140625" style="32" customWidth="1"/>
    <col min="132" max="16384" width="9.140625" style="29"/>
  </cols>
  <sheetData>
    <row r="1" spans="1:131" ht="20.100000000000001" customHeight="1">
      <c r="A1" s="1583"/>
      <c r="B1" s="1583"/>
      <c r="C1" s="1583"/>
      <c r="D1" s="1583"/>
      <c r="E1" s="1583"/>
      <c r="F1" s="1583"/>
      <c r="G1" s="1583"/>
      <c r="H1" s="1583"/>
      <c r="I1" s="1583"/>
      <c r="J1" s="1583"/>
      <c r="K1" s="1583"/>
      <c r="L1" s="1583"/>
      <c r="M1" s="1583"/>
      <c r="N1" s="1583"/>
      <c r="O1" s="1583"/>
      <c r="P1" s="1583"/>
      <c r="Q1" s="1583"/>
      <c r="R1" s="1583"/>
      <c r="S1" s="1583"/>
      <c r="T1" s="1583"/>
      <c r="U1" s="1583"/>
    </row>
    <row r="2" spans="1:131" ht="20.100000000000001" customHeight="1">
      <c r="A2" s="1288" t="s">
        <v>157</v>
      </c>
      <c r="B2" s="1136"/>
      <c r="C2" s="1136"/>
      <c r="D2" s="1136"/>
      <c r="E2" s="1136"/>
      <c r="F2" s="1136"/>
      <c r="G2" s="1136"/>
      <c r="H2" s="1136"/>
      <c r="I2" s="1136"/>
      <c r="J2" s="1136"/>
      <c r="K2" s="1136"/>
      <c r="L2" s="1136"/>
      <c r="M2" s="1136"/>
      <c r="N2" s="1136"/>
      <c r="O2" s="1136"/>
      <c r="P2" s="1136"/>
      <c r="Q2" s="1136"/>
      <c r="R2" s="1136"/>
      <c r="S2" s="1136"/>
      <c r="T2" s="1548"/>
      <c r="U2" s="1548"/>
    </row>
    <row r="3" spans="1:131" s="1287" customFormat="1" ht="24" customHeight="1">
      <c r="A3" s="1282" t="s">
        <v>822</v>
      </c>
      <c r="B3" s="1278"/>
      <c r="C3" s="1278"/>
      <c r="D3" s="1278"/>
      <c r="E3" s="1278"/>
      <c r="F3" s="1278"/>
      <c r="G3" s="1278"/>
      <c r="H3" s="1278"/>
      <c r="I3" s="1278"/>
      <c r="J3" s="1278"/>
      <c r="K3" s="1278"/>
      <c r="L3" s="1278"/>
      <c r="M3" s="1278"/>
      <c r="N3" s="1278"/>
      <c r="O3" s="1278"/>
      <c r="P3" s="1278"/>
      <c r="Q3" s="1278"/>
      <c r="R3" s="1278"/>
      <c r="S3" s="1278"/>
      <c r="T3" s="1285"/>
      <c r="U3" s="1285"/>
      <c r="V3" s="1286"/>
      <c r="W3" s="1286"/>
      <c r="X3" s="1286"/>
      <c r="Y3" s="1286"/>
      <c r="Z3" s="1286"/>
      <c r="AA3" s="1286"/>
      <c r="AB3" s="1286"/>
      <c r="AC3" s="1286"/>
      <c r="AD3" s="1286"/>
      <c r="AE3" s="1286"/>
      <c r="AF3" s="1286"/>
      <c r="AG3" s="1286"/>
      <c r="AH3" s="1286"/>
      <c r="AI3" s="1286"/>
      <c r="AJ3" s="1286"/>
      <c r="AK3" s="1286"/>
      <c r="AL3" s="1286"/>
      <c r="AM3" s="1286"/>
      <c r="AN3" s="1286"/>
      <c r="AO3" s="1286"/>
      <c r="AP3" s="1286"/>
      <c r="AQ3" s="1286"/>
      <c r="AR3" s="1286"/>
      <c r="AS3" s="1286"/>
      <c r="AT3" s="1286"/>
      <c r="AU3" s="1286"/>
      <c r="AV3" s="1286"/>
      <c r="AW3" s="1286"/>
      <c r="AX3" s="1286"/>
      <c r="AY3" s="1286"/>
      <c r="AZ3" s="1286"/>
      <c r="BA3" s="1286"/>
      <c r="BB3" s="1286"/>
      <c r="BC3" s="1286"/>
      <c r="BD3" s="1286"/>
      <c r="BE3" s="1286"/>
      <c r="BF3" s="1286"/>
      <c r="BG3" s="1286"/>
      <c r="BH3" s="1286"/>
      <c r="BI3" s="1286"/>
      <c r="BJ3" s="1286"/>
      <c r="BK3" s="1286"/>
      <c r="BL3" s="1286"/>
      <c r="BM3" s="1286"/>
      <c r="BN3" s="1286"/>
      <c r="BO3" s="1286"/>
      <c r="BP3" s="1286"/>
      <c r="BQ3" s="1286"/>
      <c r="BR3" s="1286"/>
      <c r="BS3" s="1286"/>
      <c r="BT3" s="1286"/>
      <c r="BU3" s="1286"/>
      <c r="BV3" s="1286"/>
      <c r="BW3" s="1286"/>
      <c r="BX3" s="1286"/>
      <c r="BY3" s="1286"/>
      <c r="BZ3" s="1286"/>
      <c r="CA3" s="1286"/>
      <c r="CB3" s="1286"/>
      <c r="CC3" s="1286"/>
      <c r="CD3" s="1286"/>
      <c r="CE3" s="1286"/>
      <c r="CF3" s="1286"/>
      <c r="CG3" s="1286"/>
      <c r="CH3" s="1286"/>
      <c r="CI3" s="1286"/>
      <c r="CJ3" s="1286"/>
      <c r="CK3" s="1286"/>
      <c r="CL3" s="1286"/>
      <c r="CM3" s="1286"/>
      <c r="CN3" s="1286"/>
      <c r="CO3" s="1286"/>
      <c r="CP3" s="1286"/>
      <c r="CQ3" s="1286"/>
      <c r="CR3" s="1286"/>
      <c r="CS3" s="1286"/>
      <c r="CT3" s="1286"/>
      <c r="CU3" s="1286"/>
      <c r="CV3" s="1286"/>
      <c r="CW3" s="1286"/>
      <c r="CX3" s="1286"/>
      <c r="CY3" s="1286"/>
      <c r="CZ3" s="1286"/>
      <c r="DA3" s="1286"/>
      <c r="DB3" s="1286"/>
      <c r="DC3" s="1286"/>
      <c r="DD3" s="1286"/>
      <c r="DE3" s="1286"/>
      <c r="DF3" s="1286"/>
      <c r="DG3" s="1286"/>
      <c r="DH3" s="1286"/>
      <c r="DI3" s="1286"/>
      <c r="DJ3" s="1286"/>
      <c r="DK3" s="1286"/>
      <c r="DL3" s="1286"/>
      <c r="DM3" s="1286"/>
      <c r="DN3" s="1286"/>
      <c r="DO3" s="1286"/>
      <c r="DP3" s="1286"/>
      <c r="DQ3" s="1286"/>
      <c r="DR3" s="1286"/>
      <c r="DS3" s="1286"/>
      <c r="DT3" s="1286"/>
      <c r="DU3" s="1286"/>
      <c r="DV3" s="1286"/>
      <c r="DW3" s="1286"/>
      <c r="DX3" s="1286"/>
      <c r="DY3" s="1286"/>
      <c r="DZ3" s="1286"/>
      <c r="EA3" s="1286"/>
    </row>
    <row r="4" spans="1:131" ht="54.75" customHeight="1">
      <c r="A4" s="1584" t="s">
        <v>818</v>
      </c>
      <c r="B4" s="1584"/>
      <c r="C4" s="1584"/>
      <c r="D4" s="1584"/>
      <c r="E4" s="1584"/>
      <c r="F4" s="1584"/>
      <c r="G4" s="1584"/>
      <c r="H4" s="1584"/>
      <c r="I4" s="1584"/>
      <c r="J4" s="1584"/>
      <c r="K4" s="1584"/>
      <c r="L4" s="1584"/>
      <c r="M4" s="1584"/>
      <c r="N4" s="1584"/>
      <c r="O4" s="1584"/>
      <c r="P4" s="1584"/>
      <c r="Q4" s="1584"/>
      <c r="R4" s="1584"/>
      <c r="S4" s="1584"/>
      <c r="T4" s="1584"/>
      <c r="U4" s="1584"/>
    </row>
    <row r="5" spans="1:131" ht="57" customHeight="1" thickBot="1">
      <c r="A5" s="1138"/>
      <c r="B5" s="1138"/>
      <c r="C5" s="1138"/>
      <c r="D5" s="1138"/>
      <c r="E5" s="1138"/>
      <c r="F5" s="1138"/>
      <c r="G5" s="1138"/>
      <c r="H5" s="1138"/>
      <c r="I5" s="1138"/>
      <c r="J5" s="1138"/>
      <c r="K5" s="1138"/>
      <c r="L5" s="1138"/>
      <c r="M5" s="1138"/>
      <c r="N5" s="1138"/>
      <c r="O5" s="1138"/>
      <c r="P5" s="1138"/>
      <c r="Q5" s="1138"/>
      <c r="R5" s="1138"/>
      <c r="S5" s="1138"/>
      <c r="T5" s="1138"/>
      <c r="U5" s="1138"/>
    </row>
    <row r="6" spans="1:131" ht="45.75" customHeight="1">
      <c r="A6" s="1550"/>
      <c r="B6" s="1553" t="s">
        <v>782</v>
      </c>
      <c r="C6" s="1553" t="s">
        <v>783</v>
      </c>
      <c r="D6" s="1553" t="s">
        <v>784</v>
      </c>
      <c r="E6" s="1553" t="s">
        <v>785</v>
      </c>
      <c r="F6" s="1585" t="s">
        <v>786</v>
      </c>
      <c r="G6" s="1586"/>
      <c r="H6" s="1586"/>
      <c r="I6" s="1586"/>
      <c r="J6" s="1589" t="s">
        <v>787</v>
      </c>
      <c r="K6" s="1590"/>
      <c r="L6" s="1590"/>
      <c r="M6" s="1590"/>
      <c r="N6" s="1590"/>
      <c r="O6" s="1590"/>
      <c r="P6" s="1590"/>
      <c r="Q6" s="1590"/>
      <c r="R6" s="1590"/>
      <c r="S6" s="1590"/>
      <c r="T6" s="1590"/>
      <c r="U6" s="1591"/>
    </row>
    <row r="7" spans="1:131" ht="51.75" customHeight="1">
      <c r="A7" s="1551"/>
      <c r="B7" s="1554"/>
      <c r="C7" s="1554"/>
      <c r="D7" s="1554"/>
      <c r="E7" s="1554"/>
      <c r="F7" s="1587"/>
      <c r="G7" s="1588"/>
      <c r="H7" s="1588"/>
      <c r="I7" s="1588"/>
      <c r="J7" s="1580" t="s">
        <v>788</v>
      </c>
      <c r="K7" s="1581"/>
      <c r="L7" s="1581"/>
      <c r="M7" s="1582"/>
      <c r="N7" s="1580" t="s">
        <v>789</v>
      </c>
      <c r="O7" s="1581"/>
      <c r="P7" s="1581"/>
      <c r="Q7" s="1582"/>
      <c r="R7" s="1581" t="s">
        <v>17</v>
      </c>
      <c r="S7" s="1581"/>
      <c r="T7" s="1581"/>
      <c r="U7" s="1582"/>
    </row>
    <row r="8" spans="1:131" ht="21" customHeight="1">
      <c r="A8" s="1551"/>
      <c r="B8" s="1554"/>
      <c r="C8" s="1554"/>
      <c r="D8" s="1554"/>
      <c r="E8" s="1554"/>
      <c r="F8" s="1567" t="s">
        <v>790</v>
      </c>
      <c r="G8" s="1567" t="s">
        <v>791</v>
      </c>
      <c r="H8" s="1567" t="s">
        <v>792</v>
      </c>
      <c r="I8" s="1527" t="s">
        <v>17</v>
      </c>
      <c r="J8" s="1530" t="s">
        <v>793</v>
      </c>
      <c r="K8" s="1533" t="s">
        <v>794</v>
      </c>
      <c r="L8" s="1533" t="s">
        <v>795</v>
      </c>
      <c r="M8" s="1537" t="s">
        <v>17</v>
      </c>
      <c r="N8" s="1530" t="s">
        <v>793</v>
      </c>
      <c r="O8" s="1533" t="s">
        <v>794</v>
      </c>
      <c r="P8" s="1533" t="s">
        <v>795</v>
      </c>
      <c r="Q8" s="1537" t="s">
        <v>17</v>
      </c>
      <c r="R8" s="1524" t="s">
        <v>793</v>
      </c>
      <c r="S8" s="1533" t="s">
        <v>794</v>
      </c>
      <c r="T8" s="1533" t="s">
        <v>795</v>
      </c>
      <c r="U8" s="1537" t="s">
        <v>17</v>
      </c>
    </row>
    <row r="9" spans="1:131" ht="12.75" customHeight="1">
      <c r="A9" s="1551"/>
      <c r="B9" s="1554"/>
      <c r="C9" s="1554"/>
      <c r="D9" s="1554"/>
      <c r="E9" s="1554"/>
      <c r="F9" s="1554"/>
      <c r="G9" s="1554"/>
      <c r="H9" s="1554"/>
      <c r="I9" s="1528"/>
      <c r="J9" s="1531"/>
      <c r="K9" s="1534"/>
      <c r="L9" s="1534"/>
      <c r="M9" s="1538"/>
      <c r="N9" s="1531"/>
      <c r="O9" s="1534"/>
      <c r="P9" s="1534"/>
      <c r="Q9" s="1538"/>
      <c r="R9" s="1525"/>
      <c r="S9" s="1534"/>
      <c r="T9" s="1534"/>
      <c r="U9" s="1538"/>
    </row>
    <row r="10" spans="1:131" ht="134.25" customHeight="1">
      <c r="A10" s="1551"/>
      <c r="B10" s="1554"/>
      <c r="C10" s="1554"/>
      <c r="D10" s="1556"/>
      <c r="E10" s="1556"/>
      <c r="F10" s="1556"/>
      <c r="G10" s="1556"/>
      <c r="H10" s="1556"/>
      <c r="I10" s="1529"/>
      <c r="J10" s="1532"/>
      <c r="K10" s="1535"/>
      <c r="L10" s="1535"/>
      <c r="M10" s="1539"/>
      <c r="N10" s="1532"/>
      <c r="O10" s="1535"/>
      <c r="P10" s="1535"/>
      <c r="Q10" s="1539"/>
      <c r="R10" s="1526"/>
      <c r="S10" s="1535"/>
      <c r="T10" s="1535"/>
      <c r="U10" s="1539"/>
    </row>
    <row r="11" spans="1:131" s="1149" customFormat="1" ht="44.25" customHeight="1" thickBot="1">
      <c r="A11" s="1552"/>
      <c r="B11" s="1555"/>
      <c r="C11" s="1555"/>
      <c r="D11" s="1139">
        <v>1</v>
      </c>
      <c r="E11" s="1139">
        <v>2</v>
      </c>
      <c r="F11" s="1140">
        <v>3</v>
      </c>
      <c r="G11" s="1140">
        <v>4</v>
      </c>
      <c r="H11" s="1140">
        <v>5</v>
      </c>
      <c r="I11" s="1141" t="s">
        <v>796</v>
      </c>
      <c r="J11" s="1142">
        <v>7</v>
      </c>
      <c r="K11" s="1143">
        <v>8</v>
      </c>
      <c r="L11" s="1144">
        <v>9</v>
      </c>
      <c r="M11" s="1145" t="s">
        <v>797</v>
      </c>
      <c r="N11" s="1142">
        <v>11</v>
      </c>
      <c r="O11" s="1146">
        <v>12</v>
      </c>
      <c r="P11" s="1147">
        <v>13</v>
      </c>
      <c r="Q11" s="1145" t="s">
        <v>798</v>
      </c>
      <c r="R11" s="1143">
        <v>15</v>
      </c>
      <c r="S11" s="1143">
        <v>16</v>
      </c>
      <c r="T11" s="1144">
        <v>17</v>
      </c>
      <c r="U11" s="1145" t="s">
        <v>799</v>
      </c>
      <c r="V11" s="1148"/>
      <c r="W11" s="1148"/>
      <c r="X11" s="1148"/>
      <c r="Y11" s="1148"/>
      <c r="Z11" s="1148"/>
      <c r="AA11" s="1148"/>
      <c r="AB11" s="1148"/>
      <c r="AC11" s="1148"/>
      <c r="AD11" s="1148"/>
      <c r="AE11" s="1148"/>
      <c r="AF11" s="1148"/>
      <c r="AG11" s="1148"/>
      <c r="AH11" s="1148"/>
      <c r="AI11" s="1148"/>
      <c r="AJ11" s="1148"/>
      <c r="AK11" s="1148"/>
      <c r="AL11" s="1148"/>
      <c r="AM11" s="1148"/>
      <c r="AN11" s="1148"/>
      <c r="AO11" s="1148"/>
      <c r="AP11" s="1148"/>
      <c r="AQ11" s="1148"/>
      <c r="AR11" s="1148"/>
      <c r="AS11" s="1148"/>
      <c r="AT11" s="1148"/>
      <c r="AU11" s="1148"/>
      <c r="AV11" s="1148"/>
      <c r="AW11" s="1148"/>
      <c r="AX11" s="1148"/>
      <c r="AY11" s="1148"/>
      <c r="AZ11" s="1148"/>
      <c r="BA11" s="1148"/>
      <c r="BB11" s="1148"/>
      <c r="BC11" s="1148"/>
      <c r="BD11" s="1148"/>
      <c r="BE11" s="1148"/>
      <c r="BF11" s="1148"/>
      <c r="BG11" s="1148"/>
      <c r="BH11" s="1148"/>
      <c r="BI11" s="1148"/>
      <c r="BJ11" s="1148"/>
      <c r="BK11" s="1148"/>
      <c r="BL11" s="1148"/>
      <c r="BM11" s="1148"/>
      <c r="BN11" s="1148"/>
      <c r="BO11" s="1148"/>
      <c r="BP11" s="1148"/>
      <c r="BQ11" s="1148"/>
      <c r="BR11" s="1148"/>
      <c r="BS11" s="1148"/>
      <c r="BT11" s="1148"/>
      <c r="BU11" s="1148"/>
      <c r="BV11" s="1148"/>
      <c r="BW11" s="1148"/>
      <c r="BX11" s="1148"/>
      <c r="BY11" s="1148"/>
      <c r="BZ11" s="1148"/>
      <c r="CA11" s="1148"/>
      <c r="CB11" s="1148"/>
      <c r="CC11" s="1148"/>
      <c r="CD11" s="1148"/>
      <c r="CE11" s="1148"/>
      <c r="CF11" s="1148"/>
      <c r="CG11" s="1148"/>
      <c r="CH11" s="1148"/>
      <c r="CI11" s="1148"/>
      <c r="CJ11" s="1148"/>
      <c r="CK11" s="1148"/>
      <c r="CL11" s="1148"/>
      <c r="CM11" s="1148"/>
      <c r="CN11" s="1148"/>
      <c r="CO11" s="1148"/>
      <c r="CP11" s="1148"/>
      <c r="CQ11" s="1148"/>
      <c r="CR11" s="1148"/>
      <c r="CS11" s="1148"/>
      <c r="CT11" s="1148"/>
      <c r="CU11" s="1148"/>
      <c r="CV11" s="1148"/>
      <c r="CW11" s="1148"/>
      <c r="CX11" s="1148"/>
      <c r="CY11" s="1148"/>
      <c r="CZ11" s="1148"/>
      <c r="DA11" s="1148"/>
      <c r="DB11" s="1148"/>
      <c r="DC11" s="1148"/>
      <c r="DD11" s="1148"/>
      <c r="DE11" s="1148"/>
      <c r="DF11" s="1148"/>
      <c r="DG11" s="1148"/>
      <c r="DH11" s="1148"/>
      <c r="DI11" s="1148"/>
      <c r="DJ11" s="1148"/>
      <c r="DK11" s="1148"/>
      <c r="DL11" s="1148"/>
      <c r="DM11" s="1148"/>
      <c r="DN11" s="1148"/>
      <c r="DO11" s="1148"/>
      <c r="DP11" s="1148"/>
      <c r="DQ11" s="1148"/>
      <c r="DR11" s="1148"/>
      <c r="DS11" s="1148"/>
      <c r="DT11" s="1148"/>
      <c r="DU11" s="1148"/>
      <c r="DV11" s="1148"/>
      <c r="DW11" s="1148"/>
      <c r="DX11" s="1148"/>
      <c r="DY11" s="1148"/>
      <c r="DZ11" s="1148"/>
      <c r="EA11" s="1148"/>
    </row>
    <row r="12" spans="1:131" s="1280" customFormat="1" ht="35.1" customHeight="1">
      <c r="A12" s="1568" t="s">
        <v>823</v>
      </c>
      <c r="B12" s="1220" t="s">
        <v>52</v>
      </c>
      <c r="C12" s="1577">
        <v>33</v>
      </c>
      <c r="D12" s="1221">
        <f>R12/I12/12</f>
        <v>66182.916666666672</v>
      </c>
      <c r="E12" s="1222">
        <v>0</v>
      </c>
      <c r="F12" s="1222">
        <f>0.19</f>
        <v>0.19</v>
      </c>
      <c r="G12" s="1223"/>
      <c r="H12" s="1223">
        <v>1.026</v>
      </c>
      <c r="I12" s="1224">
        <f>F12+G12+H12</f>
        <v>1.216</v>
      </c>
      <c r="J12" s="1225">
        <v>144861.17000000001</v>
      </c>
      <c r="K12" s="1226">
        <v>0</v>
      </c>
      <c r="L12" s="1226">
        <v>0</v>
      </c>
      <c r="M12" s="1227">
        <f>J12+K12+L12</f>
        <v>144861.17000000001</v>
      </c>
      <c r="N12" s="1225">
        <v>820879.95</v>
      </c>
      <c r="O12" s="1226">
        <v>0</v>
      </c>
      <c r="P12" s="1226">
        <v>0</v>
      </c>
      <c r="Q12" s="1227">
        <f>N12+O12+P12</f>
        <v>820879.95</v>
      </c>
      <c r="R12" s="1225">
        <f>J12+N12</f>
        <v>965741.12</v>
      </c>
      <c r="S12" s="1226">
        <f t="shared" ref="S12:T14" si="0">K12+O12</f>
        <v>0</v>
      </c>
      <c r="T12" s="1226">
        <f t="shared" si="0"/>
        <v>0</v>
      </c>
      <c r="U12" s="1227">
        <f>R12+S12+T12</f>
        <v>965741.12</v>
      </c>
      <c r="V12" s="1279"/>
      <c r="W12" s="1279"/>
      <c r="X12" s="1279"/>
      <c r="Y12" s="1279"/>
      <c r="Z12" s="1279"/>
      <c r="AA12" s="1279"/>
      <c r="AB12" s="1279"/>
      <c r="AC12" s="1279"/>
      <c r="AD12" s="1279"/>
      <c r="AE12" s="1279"/>
      <c r="AF12" s="1279"/>
      <c r="AG12" s="1279"/>
      <c r="AH12" s="1279"/>
      <c r="AI12" s="1279"/>
      <c r="AJ12" s="1279"/>
      <c r="AK12" s="1279"/>
      <c r="AL12" s="1279"/>
      <c r="AM12" s="1279"/>
      <c r="AN12" s="1279"/>
      <c r="AO12" s="1279"/>
      <c r="AP12" s="1279"/>
      <c r="AQ12" s="1279"/>
      <c r="AR12" s="1279"/>
      <c r="AS12" s="1279"/>
      <c r="AT12" s="1279"/>
      <c r="AU12" s="1279"/>
      <c r="AV12" s="1279"/>
      <c r="AW12" s="1279"/>
      <c r="AX12" s="1279"/>
      <c r="AY12" s="1279"/>
      <c r="AZ12" s="1279"/>
      <c r="BA12" s="1279"/>
      <c r="BB12" s="1279"/>
      <c r="BC12" s="1279"/>
      <c r="BD12" s="1279"/>
      <c r="BE12" s="1279"/>
      <c r="BF12" s="1279"/>
      <c r="BG12" s="1279"/>
      <c r="BH12" s="1279"/>
      <c r="BI12" s="1279"/>
      <c r="BJ12" s="1279"/>
      <c r="BK12" s="1279"/>
      <c r="BL12" s="1279"/>
      <c r="BM12" s="1279"/>
      <c r="BN12" s="1279"/>
      <c r="BO12" s="1279"/>
      <c r="BP12" s="1279"/>
      <c r="BQ12" s="1279"/>
      <c r="BR12" s="1279"/>
      <c r="BS12" s="1279"/>
      <c r="BT12" s="1279"/>
      <c r="BU12" s="1279"/>
      <c r="BV12" s="1279"/>
      <c r="BW12" s="1279"/>
      <c r="BX12" s="1279"/>
      <c r="BY12" s="1279"/>
      <c r="BZ12" s="1279"/>
      <c r="CA12" s="1279"/>
      <c r="CB12" s="1279"/>
      <c r="CC12" s="1279"/>
      <c r="CD12" s="1279"/>
      <c r="CE12" s="1279"/>
      <c r="CF12" s="1279"/>
      <c r="CG12" s="1279"/>
      <c r="CH12" s="1279"/>
      <c r="CI12" s="1279"/>
      <c r="CJ12" s="1279"/>
      <c r="CK12" s="1279"/>
      <c r="CL12" s="1279"/>
      <c r="CM12" s="1279"/>
      <c r="CN12" s="1279"/>
      <c r="CO12" s="1279"/>
      <c r="CP12" s="1279"/>
      <c r="CQ12" s="1279"/>
      <c r="CR12" s="1279"/>
      <c r="CS12" s="1279"/>
      <c r="CT12" s="1279"/>
      <c r="CU12" s="1279"/>
      <c r="CV12" s="1279"/>
      <c r="CW12" s="1279"/>
      <c r="CX12" s="1279"/>
      <c r="CY12" s="1279"/>
      <c r="CZ12" s="1279"/>
      <c r="DA12" s="1279"/>
      <c r="DB12" s="1279"/>
      <c r="DC12" s="1279"/>
      <c r="DD12" s="1279"/>
      <c r="DE12" s="1279"/>
      <c r="DF12" s="1279"/>
      <c r="DG12" s="1279"/>
      <c r="DH12" s="1279"/>
      <c r="DI12" s="1279"/>
      <c r="DJ12" s="1279"/>
      <c r="DK12" s="1279"/>
      <c r="DL12" s="1279"/>
      <c r="DM12" s="1279"/>
      <c r="DN12" s="1279"/>
      <c r="DO12" s="1279"/>
      <c r="DP12" s="1279"/>
      <c r="DQ12" s="1279"/>
      <c r="DR12" s="1279"/>
      <c r="DS12" s="1279"/>
      <c r="DT12" s="1279"/>
      <c r="DU12" s="1279"/>
      <c r="DV12" s="1279"/>
      <c r="DW12" s="1279"/>
      <c r="DX12" s="1279"/>
      <c r="DY12" s="1279"/>
      <c r="DZ12" s="1279"/>
      <c r="EA12" s="1279"/>
    </row>
    <row r="13" spans="1:131" s="1280" customFormat="1" ht="35.1" customHeight="1">
      <c r="A13" s="1569"/>
      <c r="B13" s="1228" t="s">
        <v>800</v>
      </c>
      <c r="C13" s="1578"/>
      <c r="D13" s="1229">
        <f t="shared" ref="D13:D63" si="1">R13/I13/12</f>
        <v>42790.770552001901</v>
      </c>
      <c r="E13" s="1230">
        <v>0</v>
      </c>
      <c r="F13" s="1230">
        <f>2.766</f>
        <v>2.766</v>
      </c>
      <c r="G13" s="1231"/>
      <c r="H13" s="1231">
        <v>15.525</v>
      </c>
      <c r="I13" s="1232">
        <f t="shared" ref="I13:I15" si="2">F13+G13+H13</f>
        <v>18.291</v>
      </c>
      <c r="J13" s="1233">
        <v>1408847.03</v>
      </c>
      <c r="K13" s="1234">
        <v>0</v>
      </c>
      <c r="L13" s="1234">
        <v>0</v>
      </c>
      <c r="M13" s="1235">
        <f t="shared" ref="M13:M15" si="3">J13+K13+L13</f>
        <v>1408847.03</v>
      </c>
      <c r="N13" s="1233">
        <v>7983384.7800000003</v>
      </c>
      <c r="O13" s="1234">
        <v>0</v>
      </c>
      <c r="P13" s="1234">
        <v>0</v>
      </c>
      <c r="Q13" s="1235">
        <f t="shared" ref="Q13:Q15" si="4">N13+O13+P13</f>
        <v>7983384.7800000003</v>
      </c>
      <c r="R13" s="1233">
        <f t="shared" ref="R13:R14" si="5">J13+N13</f>
        <v>9392231.8100000005</v>
      </c>
      <c r="S13" s="1234">
        <f t="shared" si="0"/>
        <v>0</v>
      </c>
      <c r="T13" s="1234">
        <f t="shared" si="0"/>
        <v>0</v>
      </c>
      <c r="U13" s="1235">
        <f t="shared" ref="U13:U15" si="6">R13+S13+T13</f>
        <v>9392231.8100000005</v>
      </c>
      <c r="V13" s="1279"/>
      <c r="W13" s="1279"/>
      <c r="X13" s="1279"/>
      <c r="Y13" s="1279"/>
      <c r="Z13" s="1279"/>
      <c r="AA13" s="1279"/>
      <c r="AB13" s="1279"/>
      <c r="AC13" s="1279"/>
      <c r="AD13" s="1279"/>
      <c r="AE13" s="1279"/>
      <c r="AF13" s="1279"/>
      <c r="AG13" s="1279"/>
      <c r="AH13" s="1279"/>
      <c r="AI13" s="1279"/>
      <c r="AJ13" s="1279"/>
      <c r="AK13" s="1279"/>
      <c r="AL13" s="1279"/>
      <c r="AM13" s="1279"/>
      <c r="AN13" s="1279"/>
      <c r="AO13" s="1279"/>
      <c r="AP13" s="1279"/>
      <c r="AQ13" s="1279"/>
      <c r="AR13" s="1279"/>
      <c r="AS13" s="1279"/>
      <c r="AT13" s="1279"/>
      <c r="AU13" s="1279"/>
      <c r="AV13" s="1279"/>
      <c r="AW13" s="1279"/>
      <c r="AX13" s="1279"/>
      <c r="AY13" s="1279"/>
      <c r="AZ13" s="1279"/>
      <c r="BA13" s="1279"/>
      <c r="BB13" s="1279"/>
      <c r="BC13" s="1279"/>
      <c r="BD13" s="1279"/>
      <c r="BE13" s="1279"/>
      <c r="BF13" s="1279"/>
      <c r="BG13" s="1279"/>
      <c r="BH13" s="1279"/>
      <c r="BI13" s="1279"/>
      <c r="BJ13" s="1279"/>
      <c r="BK13" s="1279"/>
      <c r="BL13" s="1279"/>
      <c r="BM13" s="1279"/>
      <c r="BN13" s="1279"/>
      <c r="BO13" s="1279"/>
      <c r="BP13" s="1279"/>
      <c r="BQ13" s="1279"/>
      <c r="BR13" s="1279"/>
      <c r="BS13" s="1279"/>
      <c r="BT13" s="1279"/>
      <c r="BU13" s="1279"/>
      <c r="BV13" s="1279"/>
      <c r="BW13" s="1279"/>
      <c r="BX13" s="1279"/>
      <c r="BY13" s="1279"/>
      <c r="BZ13" s="1279"/>
      <c r="CA13" s="1279"/>
      <c r="CB13" s="1279"/>
      <c r="CC13" s="1279"/>
      <c r="CD13" s="1279"/>
      <c r="CE13" s="1279"/>
      <c r="CF13" s="1279"/>
      <c r="CG13" s="1279"/>
      <c r="CH13" s="1279"/>
      <c r="CI13" s="1279"/>
      <c r="CJ13" s="1279"/>
      <c r="CK13" s="1279"/>
      <c r="CL13" s="1279"/>
      <c r="CM13" s="1279"/>
      <c r="CN13" s="1279"/>
      <c r="CO13" s="1279"/>
      <c r="CP13" s="1279"/>
      <c r="CQ13" s="1279"/>
      <c r="CR13" s="1279"/>
      <c r="CS13" s="1279"/>
      <c r="CT13" s="1279"/>
      <c r="CU13" s="1279"/>
      <c r="CV13" s="1279"/>
      <c r="CW13" s="1279"/>
      <c r="CX13" s="1279"/>
      <c r="CY13" s="1279"/>
      <c r="CZ13" s="1279"/>
      <c r="DA13" s="1279"/>
      <c r="DB13" s="1279"/>
      <c r="DC13" s="1279"/>
      <c r="DD13" s="1279"/>
      <c r="DE13" s="1279"/>
      <c r="DF13" s="1279"/>
      <c r="DG13" s="1279"/>
      <c r="DH13" s="1279"/>
      <c r="DI13" s="1279"/>
      <c r="DJ13" s="1279"/>
      <c r="DK13" s="1279"/>
      <c r="DL13" s="1279"/>
      <c r="DM13" s="1279"/>
      <c r="DN13" s="1279"/>
      <c r="DO13" s="1279"/>
      <c r="DP13" s="1279"/>
      <c r="DQ13" s="1279"/>
      <c r="DR13" s="1279"/>
      <c r="DS13" s="1279"/>
      <c r="DT13" s="1279"/>
      <c r="DU13" s="1279"/>
      <c r="DV13" s="1279"/>
      <c r="DW13" s="1279"/>
      <c r="DX13" s="1279"/>
      <c r="DY13" s="1279"/>
      <c r="DZ13" s="1279"/>
      <c r="EA13" s="1279"/>
    </row>
    <row r="14" spans="1:131" s="1280" customFormat="1" ht="35.1" customHeight="1">
      <c r="A14" s="1569"/>
      <c r="B14" s="1228" t="s">
        <v>801</v>
      </c>
      <c r="C14" s="1578"/>
      <c r="D14" s="1229"/>
      <c r="E14" s="1229">
        <v>0</v>
      </c>
      <c r="F14" s="1230"/>
      <c r="G14" s="1231"/>
      <c r="H14" s="1231"/>
      <c r="I14" s="1232">
        <f t="shared" si="2"/>
        <v>0</v>
      </c>
      <c r="J14" s="1233">
        <v>0</v>
      </c>
      <c r="K14" s="1234">
        <v>0</v>
      </c>
      <c r="L14" s="1234">
        <v>130848.63</v>
      </c>
      <c r="M14" s="1235">
        <f t="shared" si="3"/>
        <v>130848.63</v>
      </c>
      <c r="N14" s="1233">
        <v>0</v>
      </c>
      <c r="O14" s="1234">
        <v>0</v>
      </c>
      <c r="P14" s="1234">
        <v>741475.43</v>
      </c>
      <c r="Q14" s="1235">
        <f t="shared" si="4"/>
        <v>741475.43</v>
      </c>
      <c r="R14" s="1233">
        <f t="shared" si="5"/>
        <v>0</v>
      </c>
      <c r="S14" s="1234">
        <f t="shared" si="0"/>
        <v>0</v>
      </c>
      <c r="T14" s="1234">
        <f t="shared" si="0"/>
        <v>872324.06</v>
      </c>
      <c r="U14" s="1235">
        <f t="shared" si="6"/>
        <v>872324.06</v>
      </c>
      <c r="V14" s="1279"/>
      <c r="W14" s="1279"/>
      <c r="X14" s="1279"/>
      <c r="Y14" s="1279"/>
      <c r="Z14" s="1279"/>
      <c r="AA14" s="1279"/>
      <c r="AB14" s="1279"/>
      <c r="AC14" s="1279"/>
      <c r="AD14" s="1279"/>
      <c r="AE14" s="1279"/>
      <c r="AF14" s="1279"/>
      <c r="AG14" s="1279"/>
      <c r="AH14" s="1279"/>
      <c r="AI14" s="1279"/>
      <c r="AJ14" s="1279"/>
      <c r="AK14" s="1279"/>
      <c r="AL14" s="1279"/>
      <c r="AM14" s="1279"/>
      <c r="AN14" s="1279"/>
      <c r="AO14" s="1279"/>
      <c r="AP14" s="1279"/>
      <c r="AQ14" s="1279"/>
      <c r="AR14" s="1279"/>
      <c r="AS14" s="1279"/>
      <c r="AT14" s="1279"/>
      <c r="AU14" s="1279"/>
      <c r="AV14" s="1279"/>
      <c r="AW14" s="1279"/>
      <c r="AX14" s="1279"/>
      <c r="AY14" s="1279"/>
      <c r="AZ14" s="1279"/>
      <c r="BA14" s="1279"/>
      <c r="BB14" s="1279"/>
      <c r="BC14" s="1279"/>
      <c r="BD14" s="1279"/>
      <c r="BE14" s="1279"/>
      <c r="BF14" s="1279"/>
      <c r="BG14" s="1279"/>
      <c r="BH14" s="1279"/>
      <c r="BI14" s="1279"/>
      <c r="BJ14" s="1279"/>
      <c r="BK14" s="1279"/>
      <c r="BL14" s="1279"/>
      <c r="BM14" s="1279"/>
      <c r="BN14" s="1279"/>
      <c r="BO14" s="1279"/>
      <c r="BP14" s="1279"/>
      <c r="BQ14" s="1279"/>
      <c r="BR14" s="1279"/>
      <c r="BS14" s="1279"/>
      <c r="BT14" s="1279"/>
      <c r="BU14" s="1279"/>
      <c r="BV14" s="1279"/>
      <c r="BW14" s="1279"/>
      <c r="BX14" s="1279"/>
      <c r="BY14" s="1279"/>
      <c r="BZ14" s="1279"/>
      <c r="CA14" s="1279"/>
      <c r="CB14" s="1279"/>
      <c r="CC14" s="1279"/>
      <c r="CD14" s="1279"/>
      <c r="CE14" s="1279"/>
      <c r="CF14" s="1279"/>
      <c r="CG14" s="1279"/>
      <c r="CH14" s="1279"/>
      <c r="CI14" s="1279"/>
      <c r="CJ14" s="1279"/>
      <c r="CK14" s="1279"/>
      <c r="CL14" s="1279"/>
      <c r="CM14" s="1279"/>
      <c r="CN14" s="1279"/>
      <c r="CO14" s="1279"/>
      <c r="CP14" s="1279"/>
      <c r="CQ14" s="1279"/>
      <c r="CR14" s="1279"/>
      <c r="CS14" s="1279"/>
      <c r="CT14" s="1279"/>
      <c r="CU14" s="1279"/>
      <c r="CV14" s="1279"/>
      <c r="CW14" s="1279"/>
      <c r="CX14" s="1279"/>
      <c r="CY14" s="1279"/>
      <c r="CZ14" s="1279"/>
      <c r="DA14" s="1279"/>
      <c r="DB14" s="1279"/>
      <c r="DC14" s="1279"/>
      <c r="DD14" s="1279"/>
      <c r="DE14" s="1279"/>
      <c r="DF14" s="1279"/>
      <c r="DG14" s="1279"/>
      <c r="DH14" s="1279"/>
      <c r="DI14" s="1279"/>
      <c r="DJ14" s="1279"/>
      <c r="DK14" s="1279"/>
      <c r="DL14" s="1279"/>
      <c r="DM14" s="1279"/>
      <c r="DN14" s="1279"/>
      <c r="DO14" s="1279"/>
      <c r="DP14" s="1279"/>
      <c r="DQ14" s="1279"/>
      <c r="DR14" s="1279"/>
      <c r="DS14" s="1279"/>
      <c r="DT14" s="1279"/>
      <c r="DU14" s="1279"/>
      <c r="DV14" s="1279"/>
      <c r="DW14" s="1279"/>
      <c r="DX14" s="1279"/>
      <c r="DY14" s="1279"/>
      <c r="DZ14" s="1279"/>
      <c r="EA14" s="1279"/>
    </row>
    <row r="15" spans="1:131" s="1280" customFormat="1" ht="35.1" customHeight="1" thickBot="1">
      <c r="A15" s="1576"/>
      <c r="B15" s="1262" t="s">
        <v>802</v>
      </c>
      <c r="C15" s="1579"/>
      <c r="D15" s="1229">
        <f t="shared" si="1"/>
        <v>44248.957340100133</v>
      </c>
      <c r="E15" s="1230">
        <v>0</v>
      </c>
      <c r="F15" s="1230">
        <f>F12+F13+F14</f>
        <v>2.956</v>
      </c>
      <c r="G15" s="1230">
        <f t="shared" ref="G15:H15" si="7">G12+G13+G14</f>
        <v>0</v>
      </c>
      <c r="H15" s="1230">
        <f t="shared" si="7"/>
        <v>16.551000000000002</v>
      </c>
      <c r="I15" s="1230">
        <f t="shared" si="2"/>
        <v>19.507000000000001</v>
      </c>
      <c r="J15" s="1233">
        <f>J12+J13+J14</f>
        <v>1553708.2</v>
      </c>
      <c r="K15" s="1233">
        <f t="shared" ref="K15:L15" si="8">K12+K13+K14</f>
        <v>0</v>
      </c>
      <c r="L15" s="1233">
        <f t="shared" si="8"/>
        <v>130848.63</v>
      </c>
      <c r="M15" s="1233">
        <f t="shared" si="3"/>
        <v>1684556.83</v>
      </c>
      <c r="N15" s="1233">
        <f>N12+N13+N14</f>
        <v>8804264.7300000004</v>
      </c>
      <c r="O15" s="1233">
        <f t="shared" ref="O15:P15" si="9">O12+O13+O14</f>
        <v>0</v>
      </c>
      <c r="P15" s="1233">
        <f t="shared" si="9"/>
        <v>741475.43</v>
      </c>
      <c r="Q15" s="1233">
        <f t="shared" si="4"/>
        <v>9545740.1600000001</v>
      </c>
      <c r="R15" s="1233">
        <f>R12+R13+R14</f>
        <v>10357972.93</v>
      </c>
      <c r="S15" s="1233">
        <f t="shared" ref="S15:T15" si="10">S12+S13+S14</f>
        <v>0</v>
      </c>
      <c r="T15" s="1233">
        <f t="shared" si="10"/>
        <v>872324.06</v>
      </c>
      <c r="U15" s="1233">
        <f t="shared" si="6"/>
        <v>11230296.99</v>
      </c>
      <c r="V15" s="1281"/>
      <c r="W15" s="1281"/>
      <c r="X15" s="1279"/>
      <c r="Y15" s="1279"/>
      <c r="Z15" s="1279"/>
      <c r="AA15" s="1279"/>
      <c r="AB15" s="1279"/>
      <c r="AC15" s="1279"/>
      <c r="AD15" s="1279"/>
      <c r="AE15" s="1279"/>
      <c r="AF15" s="1279"/>
      <c r="AG15" s="1279"/>
      <c r="AH15" s="1279"/>
      <c r="AI15" s="1279"/>
      <c r="AJ15" s="1279"/>
      <c r="AK15" s="1279"/>
      <c r="AL15" s="1279"/>
      <c r="AM15" s="1279"/>
      <c r="AN15" s="1279"/>
      <c r="AO15" s="1279"/>
      <c r="AP15" s="1279"/>
      <c r="AQ15" s="1279"/>
      <c r="AR15" s="1279"/>
      <c r="AS15" s="1279"/>
      <c r="AT15" s="1279"/>
      <c r="AU15" s="1279"/>
      <c r="AV15" s="1279"/>
      <c r="AW15" s="1279"/>
      <c r="AX15" s="1279"/>
      <c r="AY15" s="1279"/>
      <c r="AZ15" s="1279"/>
      <c r="BA15" s="1279"/>
      <c r="BB15" s="1279"/>
      <c r="BC15" s="1279"/>
      <c r="BD15" s="1279"/>
      <c r="BE15" s="1279"/>
      <c r="BF15" s="1279"/>
      <c r="BG15" s="1279"/>
      <c r="BH15" s="1279"/>
      <c r="BI15" s="1279"/>
      <c r="BJ15" s="1279"/>
      <c r="BK15" s="1279"/>
      <c r="BL15" s="1279"/>
      <c r="BM15" s="1279"/>
      <c r="BN15" s="1279"/>
      <c r="BO15" s="1279"/>
      <c r="BP15" s="1279"/>
      <c r="BQ15" s="1279"/>
      <c r="BR15" s="1279"/>
      <c r="BS15" s="1279"/>
      <c r="BT15" s="1279"/>
      <c r="BU15" s="1279"/>
      <c r="BV15" s="1279"/>
      <c r="BW15" s="1279"/>
      <c r="BX15" s="1279"/>
      <c r="BY15" s="1279"/>
      <c r="BZ15" s="1279"/>
      <c r="CA15" s="1279"/>
      <c r="CB15" s="1279"/>
      <c r="CC15" s="1279"/>
      <c r="CD15" s="1279"/>
      <c r="CE15" s="1279"/>
      <c r="CF15" s="1279"/>
      <c r="CG15" s="1279"/>
      <c r="CH15" s="1279"/>
      <c r="CI15" s="1279"/>
      <c r="CJ15" s="1279"/>
      <c r="CK15" s="1279"/>
      <c r="CL15" s="1279"/>
      <c r="CM15" s="1279"/>
      <c r="CN15" s="1279"/>
      <c r="CO15" s="1279"/>
      <c r="CP15" s="1279"/>
      <c r="CQ15" s="1279"/>
      <c r="CR15" s="1279"/>
      <c r="CS15" s="1279"/>
      <c r="CT15" s="1279"/>
      <c r="CU15" s="1279"/>
      <c r="CV15" s="1279"/>
      <c r="CW15" s="1279"/>
      <c r="CX15" s="1279"/>
      <c r="CY15" s="1279"/>
      <c r="CZ15" s="1279"/>
      <c r="DA15" s="1279"/>
      <c r="DB15" s="1279"/>
      <c r="DC15" s="1279"/>
      <c r="DD15" s="1279"/>
      <c r="DE15" s="1279"/>
      <c r="DF15" s="1279"/>
      <c r="DG15" s="1279"/>
      <c r="DH15" s="1279"/>
      <c r="DI15" s="1279"/>
      <c r="DJ15" s="1279"/>
      <c r="DK15" s="1279"/>
      <c r="DL15" s="1279"/>
      <c r="DM15" s="1279"/>
      <c r="DN15" s="1279"/>
      <c r="DO15" s="1279"/>
      <c r="DP15" s="1279"/>
      <c r="DQ15" s="1279"/>
      <c r="DR15" s="1279"/>
      <c r="DS15" s="1279"/>
      <c r="DT15" s="1279"/>
      <c r="DU15" s="1279"/>
      <c r="DV15" s="1279"/>
      <c r="DW15" s="1279"/>
      <c r="DX15" s="1279"/>
      <c r="DY15" s="1279"/>
      <c r="DZ15" s="1279"/>
      <c r="EA15" s="1279"/>
    </row>
    <row r="16" spans="1:131" s="1280" customFormat="1" ht="35.1" customHeight="1">
      <c r="A16" s="1568" t="s">
        <v>823</v>
      </c>
      <c r="B16" s="1220" t="s">
        <v>52</v>
      </c>
      <c r="C16" s="1571">
        <v>36</v>
      </c>
      <c r="D16" s="1221">
        <f t="shared" si="1"/>
        <v>65711.754855994644</v>
      </c>
      <c r="E16" s="1222">
        <v>0</v>
      </c>
      <c r="F16" s="1222">
        <v>0.22800000000000001</v>
      </c>
      <c r="G16" s="1223"/>
      <c r="H16" s="1223">
        <v>1.2649999999999999</v>
      </c>
      <c r="I16" s="1224">
        <f>F16+G16+H16</f>
        <v>1.4929999999999999</v>
      </c>
      <c r="J16" s="1225">
        <v>176593.81</v>
      </c>
      <c r="K16" s="1226">
        <v>0</v>
      </c>
      <c r="L16" s="1226">
        <v>0</v>
      </c>
      <c r="M16" s="1227">
        <f>J16+K16+L16</f>
        <v>176593.81</v>
      </c>
      <c r="N16" s="1225">
        <v>1000697.99</v>
      </c>
      <c r="O16" s="1226">
        <v>0</v>
      </c>
      <c r="P16" s="1226">
        <v>0</v>
      </c>
      <c r="Q16" s="1227">
        <f>N16+O16+P16</f>
        <v>1000697.99</v>
      </c>
      <c r="R16" s="1225">
        <f>J16+N16</f>
        <v>1177291.8</v>
      </c>
      <c r="S16" s="1226">
        <f t="shared" ref="S16:T18" si="11">K16+O16</f>
        <v>0</v>
      </c>
      <c r="T16" s="1226">
        <f t="shared" si="11"/>
        <v>0</v>
      </c>
      <c r="U16" s="1227">
        <f>R16+S16+T16</f>
        <v>1177291.8</v>
      </c>
      <c r="V16" s="1279"/>
      <c r="W16" s="1279"/>
      <c r="X16" s="1279"/>
      <c r="Y16" s="1279"/>
      <c r="Z16" s="1279"/>
      <c r="AA16" s="1279"/>
      <c r="AB16" s="1279"/>
      <c r="AC16" s="1279"/>
      <c r="AD16" s="1279"/>
      <c r="AE16" s="1279"/>
      <c r="AF16" s="1279"/>
      <c r="AG16" s="1279"/>
      <c r="AH16" s="1279"/>
      <c r="AI16" s="1279"/>
      <c r="AJ16" s="1279"/>
      <c r="AK16" s="1279"/>
      <c r="AL16" s="1279"/>
      <c r="AM16" s="1279"/>
      <c r="AN16" s="1279"/>
      <c r="AO16" s="1279"/>
      <c r="AP16" s="1279"/>
      <c r="AQ16" s="1279"/>
      <c r="AR16" s="1279"/>
      <c r="AS16" s="1279"/>
      <c r="AT16" s="1279"/>
      <c r="AU16" s="1279"/>
      <c r="AV16" s="1279"/>
      <c r="AW16" s="1279"/>
      <c r="AX16" s="1279"/>
      <c r="AY16" s="1279"/>
      <c r="AZ16" s="1279"/>
      <c r="BA16" s="1279"/>
      <c r="BB16" s="1279"/>
      <c r="BC16" s="1279"/>
      <c r="BD16" s="1279"/>
      <c r="BE16" s="1279"/>
      <c r="BF16" s="1279"/>
      <c r="BG16" s="1279"/>
      <c r="BH16" s="1279"/>
      <c r="BI16" s="1279"/>
      <c r="BJ16" s="1279"/>
      <c r="BK16" s="1279"/>
      <c r="BL16" s="1279"/>
      <c r="BM16" s="1279"/>
      <c r="BN16" s="1279"/>
      <c r="BO16" s="1279"/>
      <c r="BP16" s="1279"/>
      <c r="BQ16" s="1279"/>
      <c r="BR16" s="1279"/>
      <c r="BS16" s="1279"/>
      <c r="BT16" s="1279"/>
      <c r="BU16" s="1279"/>
      <c r="BV16" s="1279"/>
      <c r="BW16" s="1279"/>
      <c r="BX16" s="1279"/>
      <c r="BY16" s="1279"/>
      <c r="BZ16" s="1279"/>
      <c r="CA16" s="1279"/>
      <c r="CB16" s="1279"/>
      <c r="CC16" s="1279"/>
      <c r="CD16" s="1279"/>
      <c r="CE16" s="1279"/>
      <c r="CF16" s="1279"/>
      <c r="CG16" s="1279"/>
      <c r="CH16" s="1279"/>
      <c r="CI16" s="1279"/>
      <c r="CJ16" s="1279"/>
      <c r="CK16" s="1279"/>
      <c r="CL16" s="1279"/>
      <c r="CM16" s="1279"/>
      <c r="CN16" s="1279"/>
      <c r="CO16" s="1279"/>
      <c r="CP16" s="1279"/>
      <c r="CQ16" s="1279"/>
      <c r="CR16" s="1279"/>
      <c r="CS16" s="1279"/>
      <c r="CT16" s="1279"/>
      <c r="CU16" s="1279"/>
      <c r="CV16" s="1279"/>
      <c r="CW16" s="1279"/>
      <c r="CX16" s="1279"/>
      <c r="CY16" s="1279"/>
      <c r="CZ16" s="1279"/>
      <c r="DA16" s="1279"/>
      <c r="DB16" s="1279"/>
      <c r="DC16" s="1279"/>
      <c r="DD16" s="1279"/>
      <c r="DE16" s="1279"/>
      <c r="DF16" s="1279"/>
      <c r="DG16" s="1279"/>
      <c r="DH16" s="1279"/>
      <c r="DI16" s="1279"/>
      <c r="DJ16" s="1279"/>
      <c r="DK16" s="1279"/>
      <c r="DL16" s="1279"/>
      <c r="DM16" s="1279"/>
      <c r="DN16" s="1279"/>
      <c r="DO16" s="1279"/>
      <c r="DP16" s="1279"/>
      <c r="DQ16" s="1279"/>
      <c r="DR16" s="1279"/>
      <c r="DS16" s="1279"/>
      <c r="DT16" s="1279"/>
      <c r="DU16" s="1279"/>
      <c r="DV16" s="1279"/>
      <c r="DW16" s="1279"/>
      <c r="DX16" s="1279"/>
      <c r="DY16" s="1279"/>
      <c r="DZ16" s="1279"/>
      <c r="EA16" s="1279"/>
    </row>
    <row r="17" spans="1:131" s="1280" customFormat="1" ht="35.1" customHeight="1">
      <c r="A17" s="1569"/>
      <c r="B17" s="1228" t="s">
        <v>800</v>
      </c>
      <c r="C17" s="1572"/>
      <c r="D17" s="1229">
        <f t="shared" si="1"/>
        <v>43614.082687338501</v>
      </c>
      <c r="E17" s="1230">
        <v>0</v>
      </c>
      <c r="F17" s="1230">
        <v>2.1230000000000002</v>
      </c>
      <c r="G17" s="1231"/>
      <c r="H17" s="1231">
        <v>12.196</v>
      </c>
      <c r="I17" s="1232">
        <f t="shared" ref="I17:I19" si="12">F17+G17+H17</f>
        <v>14.318999999999999</v>
      </c>
      <c r="J17" s="1233">
        <v>1124118.25</v>
      </c>
      <c r="K17" s="1234">
        <v>0</v>
      </c>
      <c r="L17" s="1234">
        <v>0</v>
      </c>
      <c r="M17" s="1235">
        <f t="shared" ref="M17:M19" si="13">J17+K17+L17</f>
        <v>1124118.25</v>
      </c>
      <c r="N17" s="1233">
        <v>6370002.3499999996</v>
      </c>
      <c r="O17" s="1234">
        <v>0</v>
      </c>
      <c r="P17" s="1234">
        <v>0</v>
      </c>
      <c r="Q17" s="1235">
        <f t="shared" ref="Q17:Q19" si="14">N17+O17+P17</f>
        <v>6370002.3499999996</v>
      </c>
      <c r="R17" s="1233">
        <f t="shared" ref="R17:R18" si="15">J17+N17</f>
        <v>7494120.5999999996</v>
      </c>
      <c r="S17" s="1234">
        <f t="shared" si="11"/>
        <v>0</v>
      </c>
      <c r="T17" s="1234">
        <f t="shared" si="11"/>
        <v>0</v>
      </c>
      <c r="U17" s="1235">
        <f t="shared" ref="U17:U19" si="16">R17+S17+T17</f>
        <v>7494120.5999999996</v>
      </c>
      <c r="V17" s="1279"/>
      <c r="W17" s="1279"/>
      <c r="X17" s="1279"/>
      <c r="Y17" s="1279"/>
      <c r="Z17" s="1279"/>
      <c r="AA17" s="1279"/>
      <c r="AB17" s="1279"/>
      <c r="AC17" s="1279"/>
      <c r="AD17" s="1279"/>
      <c r="AE17" s="1279"/>
      <c r="AF17" s="1279"/>
      <c r="AG17" s="1279"/>
      <c r="AH17" s="1279"/>
      <c r="AI17" s="1279"/>
      <c r="AJ17" s="1279"/>
      <c r="AK17" s="1279"/>
      <c r="AL17" s="1279"/>
      <c r="AM17" s="1279"/>
      <c r="AN17" s="1279"/>
      <c r="AO17" s="1279"/>
      <c r="AP17" s="1279"/>
      <c r="AQ17" s="1279"/>
      <c r="AR17" s="1279"/>
      <c r="AS17" s="1279"/>
      <c r="AT17" s="1279"/>
      <c r="AU17" s="1279"/>
      <c r="AV17" s="1279"/>
      <c r="AW17" s="1279"/>
      <c r="AX17" s="1279"/>
      <c r="AY17" s="1279"/>
      <c r="AZ17" s="1279"/>
      <c r="BA17" s="1279"/>
      <c r="BB17" s="1279"/>
      <c r="BC17" s="1279"/>
      <c r="BD17" s="1279"/>
      <c r="BE17" s="1279"/>
      <c r="BF17" s="1279"/>
      <c r="BG17" s="1279"/>
      <c r="BH17" s="1279"/>
      <c r="BI17" s="1279"/>
      <c r="BJ17" s="1279"/>
      <c r="BK17" s="1279"/>
      <c r="BL17" s="1279"/>
      <c r="BM17" s="1279"/>
      <c r="BN17" s="1279"/>
      <c r="BO17" s="1279"/>
      <c r="BP17" s="1279"/>
      <c r="BQ17" s="1279"/>
      <c r="BR17" s="1279"/>
      <c r="BS17" s="1279"/>
      <c r="BT17" s="1279"/>
      <c r="BU17" s="1279"/>
      <c r="BV17" s="1279"/>
      <c r="BW17" s="1279"/>
      <c r="BX17" s="1279"/>
      <c r="BY17" s="1279"/>
      <c r="BZ17" s="1279"/>
      <c r="CA17" s="1279"/>
      <c r="CB17" s="1279"/>
      <c r="CC17" s="1279"/>
      <c r="CD17" s="1279"/>
      <c r="CE17" s="1279"/>
      <c r="CF17" s="1279"/>
      <c r="CG17" s="1279"/>
      <c r="CH17" s="1279"/>
      <c r="CI17" s="1279"/>
      <c r="CJ17" s="1279"/>
      <c r="CK17" s="1279"/>
      <c r="CL17" s="1279"/>
      <c r="CM17" s="1279"/>
      <c r="CN17" s="1279"/>
      <c r="CO17" s="1279"/>
      <c r="CP17" s="1279"/>
      <c r="CQ17" s="1279"/>
      <c r="CR17" s="1279"/>
      <c r="CS17" s="1279"/>
      <c r="CT17" s="1279"/>
      <c r="CU17" s="1279"/>
      <c r="CV17" s="1279"/>
      <c r="CW17" s="1279"/>
      <c r="CX17" s="1279"/>
      <c r="CY17" s="1279"/>
      <c r="CZ17" s="1279"/>
      <c r="DA17" s="1279"/>
      <c r="DB17" s="1279"/>
      <c r="DC17" s="1279"/>
      <c r="DD17" s="1279"/>
      <c r="DE17" s="1279"/>
      <c r="DF17" s="1279"/>
      <c r="DG17" s="1279"/>
      <c r="DH17" s="1279"/>
      <c r="DI17" s="1279"/>
      <c r="DJ17" s="1279"/>
      <c r="DK17" s="1279"/>
      <c r="DL17" s="1279"/>
      <c r="DM17" s="1279"/>
      <c r="DN17" s="1279"/>
      <c r="DO17" s="1279"/>
      <c r="DP17" s="1279"/>
      <c r="DQ17" s="1279"/>
      <c r="DR17" s="1279"/>
      <c r="DS17" s="1279"/>
      <c r="DT17" s="1279"/>
      <c r="DU17" s="1279"/>
      <c r="DV17" s="1279"/>
      <c r="DW17" s="1279"/>
      <c r="DX17" s="1279"/>
      <c r="DY17" s="1279"/>
      <c r="DZ17" s="1279"/>
      <c r="EA17" s="1279"/>
    </row>
    <row r="18" spans="1:131" s="1280" customFormat="1" ht="35.1" customHeight="1">
      <c r="A18" s="1569"/>
      <c r="B18" s="1228" t="s">
        <v>801</v>
      </c>
      <c r="C18" s="1572"/>
      <c r="D18" s="1229"/>
      <c r="E18" s="1229">
        <v>0</v>
      </c>
      <c r="F18" s="1230"/>
      <c r="G18" s="1231"/>
      <c r="H18" s="1231"/>
      <c r="I18" s="1232">
        <f t="shared" si="12"/>
        <v>0</v>
      </c>
      <c r="J18" s="1233">
        <v>0</v>
      </c>
      <c r="K18" s="1234">
        <v>0</v>
      </c>
      <c r="L18" s="1234">
        <v>84633.93</v>
      </c>
      <c r="M18" s="1235">
        <f t="shared" si="13"/>
        <v>84633.93</v>
      </c>
      <c r="N18" s="1233">
        <v>0</v>
      </c>
      <c r="O18" s="1234">
        <v>0</v>
      </c>
      <c r="P18" s="1234">
        <v>479592.01</v>
      </c>
      <c r="Q18" s="1235">
        <f t="shared" si="14"/>
        <v>479592.01</v>
      </c>
      <c r="R18" s="1233">
        <f t="shared" si="15"/>
        <v>0</v>
      </c>
      <c r="S18" s="1234">
        <f t="shared" si="11"/>
        <v>0</v>
      </c>
      <c r="T18" s="1234">
        <f t="shared" si="11"/>
        <v>564225.93999999994</v>
      </c>
      <c r="U18" s="1235">
        <f t="shared" si="16"/>
        <v>564225.93999999994</v>
      </c>
      <c r="V18" s="1279"/>
      <c r="W18" s="1279"/>
      <c r="X18" s="1279"/>
      <c r="Y18" s="1279"/>
      <c r="Z18" s="1279"/>
      <c r="AA18" s="1279"/>
      <c r="AB18" s="1279"/>
      <c r="AC18" s="1279"/>
      <c r="AD18" s="1279"/>
      <c r="AE18" s="1279"/>
      <c r="AF18" s="1279"/>
      <c r="AG18" s="1279"/>
      <c r="AH18" s="1279"/>
      <c r="AI18" s="1279"/>
      <c r="AJ18" s="1279"/>
      <c r="AK18" s="1279"/>
      <c r="AL18" s="1279"/>
      <c r="AM18" s="1279"/>
      <c r="AN18" s="1279"/>
      <c r="AO18" s="1279"/>
      <c r="AP18" s="1279"/>
      <c r="AQ18" s="1279"/>
      <c r="AR18" s="1279"/>
      <c r="AS18" s="1279"/>
      <c r="AT18" s="1279"/>
      <c r="AU18" s="1279"/>
      <c r="AV18" s="1279"/>
      <c r="AW18" s="1279"/>
      <c r="AX18" s="1279"/>
      <c r="AY18" s="1279"/>
      <c r="AZ18" s="1279"/>
      <c r="BA18" s="1279"/>
      <c r="BB18" s="1279"/>
      <c r="BC18" s="1279"/>
      <c r="BD18" s="1279"/>
      <c r="BE18" s="1279"/>
      <c r="BF18" s="1279"/>
      <c r="BG18" s="1279"/>
      <c r="BH18" s="1279"/>
      <c r="BI18" s="1279"/>
      <c r="BJ18" s="1279"/>
      <c r="BK18" s="1279"/>
      <c r="BL18" s="1279"/>
      <c r="BM18" s="1279"/>
      <c r="BN18" s="1279"/>
      <c r="BO18" s="1279"/>
      <c r="BP18" s="1279"/>
      <c r="BQ18" s="1279"/>
      <c r="BR18" s="1279"/>
      <c r="BS18" s="1279"/>
      <c r="BT18" s="1279"/>
      <c r="BU18" s="1279"/>
      <c r="BV18" s="1279"/>
      <c r="BW18" s="1279"/>
      <c r="BX18" s="1279"/>
      <c r="BY18" s="1279"/>
      <c r="BZ18" s="1279"/>
      <c r="CA18" s="1279"/>
      <c r="CB18" s="1279"/>
      <c r="CC18" s="1279"/>
      <c r="CD18" s="1279"/>
      <c r="CE18" s="1279"/>
      <c r="CF18" s="1279"/>
      <c r="CG18" s="1279"/>
      <c r="CH18" s="1279"/>
      <c r="CI18" s="1279"/>
      <c r="CJ18" s="1279"/>
      <c r="CK18" s="1279"/>
      <c r="CL18" s="1279"/>
      <c r="CM18" s="1279"/>
      <c r="CN18" s="1279"/>
      <c r="CO18" s="1279"/>
      <c r="CP18" s="1279"/>
      <c r="CQ18" s="1279"/>
      <c r="CR18" s="1279"/>
      <c r="CS18" s="1279"/>
      <c r="CT18" s="1279"/>
      <c r="CU18" s="1279"/>
      <c r="CV18" s="1279"/>
      <c r="CW18" s="1279"/>
      <c r="CX18" s="1279"/>
      <c r="CY18" s="1279"/>
      <c r="CZ18" s="1279"/>
      <c r="DA18" s="1279"/>
      <c r="DB18" s="1279"/>
      <c r="DC18" s="1279"/>
      <c r="DD18" s="1279"/>
      <c r="DE18" s="1279"/>
      <c r="DF18" s="1279"/>
      <c r="DG18" s="1279"/>
      <c r="DH18" s="1279"/>
      <c r="DI18" s="1279"/>
      <c r="DJ18" s="1279"/>
      <c r="DK18" s="1279"/>
      <c r="DL18" s="1279"/>
      <c r="DM18" s="1279"/>
      <c r="DN18" s="1279"/>
      <c r="DO18" s="1279"/>
      <c r="DP18" s="1279"/>
      <c r="DQ18" s="1279"/>
      <c r="DR18" s="1279"/>
      <c r="DS18" s="1279"/>
      <c r="DT18" s="1279"/>
      <c r="DU18" s="1279"/>
      <c r="DV18" s="1279"/>
      <c r="DW18" s="1279"/>
      <c r="DX18" s="1279"/>
      <c r="DY18" s="1279"/>
      <c r="DZ18" s="1279"/>
      <c r="EA18" s="1279"/>
    </row>
    <row r="19" spans="1:131" s="1280" customFormat="1" ht="35.1" customHeight="1" thickBot="1">
      <c r="A19" s="1570"/>
      <c r="B19" s="1236" t="s">
        <v>802</v>
      </c>
      <c r="C19" s="1573"/>
      <c r="D19" s="1237">
        <f t="shared" si="1"/>
        <v>45700.588160890467</v>
      </c>
      <c r="E19" s="1238">
        <v>0</v>
      </c>
      <c r="F19" s="1238">
        <f>F16+F17+F18</f>
        <v>2.3510000000000004</v>
      </c>
      <c r="G19" s="1239">
        <f t="shared" ref="G19:H19" si="17">G16+G17+G18</f>
        <v>0</v>
      </c>
      <c r="H19" s="1239">
        <f t="shared" si="17"/>
        <v>13.461</v>
      </c>
      <c r="I19" s="1240">
        <f t="shared" si="12"/>
        <v>15.812000000000001</v>
      </c>
      <c r="J19" s="1241">
        <f>J16+J17+J18</f>
        <v>1300712.06</v>
      </c>
      <c r="K19" s="1242">
        <f t="shared" ref="K19:L19" si="18">K16+K17+K18</f>
        <v>0</v>
      </c>
      <c r="L19" s="1242">
        <f t="shared" si="18"/>
        <v>84633.93</v>
      </c>
      <c r="M19" s="1243">
        <f t="shared" si="13"/>
        <v>1385345.99</v>
      </c>
      <c r="N19" s="1241">
        <f>N16+N17+N18</f>
        <v>7370700.3399999999</v>
      </c>
      <c r="O19" s="1242">
        <f t="shared" ref="O19:P19" si="19">O16+O17+O18</f>
        <v>0</v>
      </c>
      <c r="P19" s="1242">
        <f t="shared" si="19"/>
        <v>479592.01</v>
      </c>
      <c r="Q19" s="1243">
        <f t="shared" si="14"/>
        <v>7850292.3499999996</v>
      </c>
      <c r="R19" s="1241">
        <f>R16+R17+R18</f>
        <v>8671412.4000000004</v>
      </c>
      <c r="S19" s="1242">
        <f t="shared" ref="S19:T19" si="20">S16+S17+S18</f>
        <v>0</v>
      </c>
      <c r="T19" s="1242">
        <f t="shared" si="20"/>
        <v>564225.93999999994</v>
      </c>
      <c r="U19" s="1243">
        <f t="shared" si="16"/>
        <v>9235638.3399999999</v>
      </c>
      <c r="V19" s="1281"/>
      <c r="W19" s="1281"/>
      <c r="X19" s="1279"/>
      <c r="Y19" s="1279"/>
      <c r="Z19" s="1279"/>
      <c r="AA19" s="1279"/>
      <c r="AB19" s="1279"/>
      <c r="AC19" s="1279"/>
      <c r="AD19" s="1279"/>
      <c r="AE19" s="1279"/>
      <c r="AF19" s="1279"/>
      <c r="AG19" s="1279"/>
      <c r="AH19" s="1279"/>
      <c r="AI19" s="1279"/>
      <c r="AJ19" s="1279"/>
      <c r="AK19" s="1279"/>
      <c r="AL19" s="1279"/>
      <c r="AM19" s="1279"/>
      <c r="AN19" s="1279"/>
      <c r="AO19" s="1279"/>
      <c r="AP19" s="1279"/>
      <c r="AQ19" s="1279"/>
      <c r="AR19" s="1279"/>
      <c r="AS19" s="1279"/>
      <c r="AT19" s="1279"/>
      <c r="AU19" s="1279"/>
      <c r="AV19" s="1279"/>
      <c r="AW19" s="1279"/>
      <c r="AX19" s="1279"/>
      <c r="AY19" s="1279"/>
      <c r="AZ19" s="1279"/>
      <c r="BA19" s="1279"/>
      <c r="BB19" s="1279"/>
      <c r="BC19" s="1279"/>
      <c r="BD19" s="1279"/>
      <c r="BE19" s="1279"/>
      <c r="BF19" s="1279"/>
      <c r="BG19" s="1279"/>
      <c r="BH19" s="1279"/>
      <c r="BI19" s="1279"/>
      <c r="BJ19" s="1279"/>
      <c r="BK19" s="1279"/>
      <c r="BL19" s="1279"/>
      <c r="BM19" s="1279"/>
      <c r="BN19" s="1279"/>
      <c r="BO19" s="1279"/>
      <c r="BP19" s="1279"/>
      <c r="BQ19" s="1279"/>
      <c r="BR19" s="1279"/>
      <c r="BS19" s="1279"/>
      <c r="BT19" s="1279"/>
      <c r="BU19" s="1279"/>
      <c r="BV19" s="1279"/>
      <c r="BW19" s="1279"/>
      <c r="BX19" s="1279"/>
      <c r="BY19" s="1279"/>
      <c r="BZ19" s="1279"/>
      <c r="CA19" s="1279"/>
      <c r="CB19" s="1279"/>
      <c r="CC19" s="1279"/>
      <c r="CD19" s="1279"/>
      <c r="CE19" s="1279"/>
      <c r="CF19" s="1279"/>
      <c r="CG19" s="1279"/>
      <c r="CH19" s="1279"/>
      <c r="CI19" s="1279"/>
      <c r="CJ19" s="1279"/>
      <c r="CK19" s="1279"/>
      <c r="CL19" s="1279"/>
      <c r="CM19" s="1279"/>
      <c r="CN19" s="1279"/>
      <c r="CO19" s="1279"/>
      <c r="CP19" s="1279"/>
      <c r="CQ19" s="1279"/>
      <c r="CR19" s="1279"/>
      <c r="CS19" s="1279"/>
      <c r="CT19" s="1279"/>
      <c r="CU19" s="1279"/>
      <c r="CV19" s="1279"/>
      <c r="CW19" s="1279"/>
      <c r="CX19" s="1279"/>
      <c r="CY19" s="1279"/>
      <c r="CZ19" s="1279"/>
      <c r="DA19" s="1279"/>
      <c r="DB19" s="1279"/>
      <c r="DC19" s="1279"/>
      <c r="DD19" s="1279"/>
      <c r="DE19" s="1279"/>
      <c r="DF19" s="1279"/>
      <c r="DG19" s="1279"/>
      <c r="DH19" s="1279"/>
      <c r="DI19" s="1279"/>
      <c r="DJ19" s="1279"/>
      <c r="DK19" s="1279"/>
      <c r="DL19" s="1279"/>
      <c r="DM19" s="1279"/>
      <c r="DN19" s="1279"/>
      <c r="DO19" s="1279"/>
      <c r="DP19" s="1279"/>
      <c r="DQ19" s="1279"/>
      <c r="DR19" s="1279"/>
      <c r="DS19" s="1279"/>
      <c r="DT19" s="1279"/>
      <c r="DU19" s="1279"/>
      <c r="DV19" s="1279"/>
      <c r="DW19" s="1279"/>
      <c r="DX19" s="1279"/>
      <c r="DY19" s="1279"/>
      <c r="DZ19" s="1279"/>
      <c r="EA19" s="1279"/>
    </row>
    <row r="20" spans="1:131" s="1149" customFormat="1" ht="35.1" customHeight="1">
      <c r="A20" s="1568" t="s">
        <v>824</v>
      </c>
      <c r="B20" s="1220" t="s">
        <v>52</v>
      </c>
      <c r="C20" s="1571">
        <v>33</v>
      </c>
      <c r="D20" s="1221">
        <f t="shared" si="1"/>
        <v>67069.983405932391</v>
      </c>
      <c r="E20" s="1222">
        <v>0</v>
      </c>
      <c r="F20" s="1222">
        <v>0.24399999999999999</v>
      </c>
      <c r="G20" s="1223"/>
      <c r="H20" s="1223">
        <v>1.363</v>
      </c>
      <c r="I20" s="1224">
        <f>F20+G20+H20</f>
        <v>1.607</v>
      </c>
      <c r="J20" s="1225">
        <f>139269.67+34944.88+4291.27+3271.05+7978.65+4251.15</f>
        <v>194006.66999999998</v>
      </c>
      <c r="K20" s="1226">
        <v>0</v>
      </c>
      <c r="L20" s="1226">
        <v>0</v>
      </c>
      <c r="M20" s="1227">
        <f>J20+K20+L20</f>
        <v>194006.66999999998</v>
      </c>
      <c r="N20" s="1225">
        <f>789194.56+198020.96+24317.22+18535.95+45212.35+24089.85</f>
        <v>1099370.8900000001</v>
      </c>
      <c r="O20" s="1226">
        <v>0</v>
      </c>
      <c r="P20" s="1226">
        <v>0</v>
      </c>
      <c r="Q20" s="1227">
        <f>N20+O20+P20</f>
        <v>1099370.8900000001</v>
      </c>
      <c r="R20" s="1225">
        <f>J20+N20</f>
        <v>1293377.56</v>
      </c>
      <c r="S20" s="1226">
        <f t="shared" ref="S20:T22" si="21">K20+O20</f>
        <v>0</v>
      </c>
      <c r="T20" s="1226">
        <f t="shared" si="21"/>
        <v>0</v>
      </c>
      <c r="U20" s="1227">
        <f>R20+S20+T20</f>
        <v>1293377.56</v>
      </c>
      <c r="V20" s="1148"/>
      <c r="W20" s="1150"/>
      <c r="X20" s="1148"/>
      <c r="Y20" s="1148"/>
      <c r="Z20" s="1148"/>
      <c r="AA20" s="1148"/>
      <c r="AB20" s="1148"/>
      <c r="AC20" s="1148"/>
      <c r="AD20" s="1148"/>
      <c r="AE20" s="1148"/>
      <c r="AF20" s="1148"/>
      <c r="AG20" s="1148"/>
      <c r="AH20" s="1148"/>
      <c r="AI20" s="1148"/>
      <c r="AJ20" s="1148"/>
      <c r="AK20" s="1148"/>
      <c r="AL20" s="1148"/>
      <c r="AM20" s="1148"/>
      <c r="AN20" s="1148"/>
      <c r="AO20" s="1148"/>
      <c r="AP20" s="1148"/>
      <c r="AQ20" s="1148"/>
      <c r="AR20" s="1148"/>
      <c r="AS20" s="1148"/>
      <c r="AT20" s="1148"/>
      <c r="AU20" s="1148"/>
      <c r="AV20" s="1148"/>
      <c r="AW20" s="1148"/>
      <c r="AX20" s="1148"/>
      <c r="AY20" s="1148"/>
      <c r="AZ20" s="1148"/>
      <c r="BA20" s="1148"/>
      <c r="BB20" s="1148"/>
      <c r="BC20" s="1148"/>
      <c r="BD20" s="1148"/>
      <c r="BE20" s="1148"/>
      <c r="BF20" s="1148"/>
      <c r="BG20" s="1148"/>
      <c r="BH20" s="1148"/>
      <c r="BI20" s="1148"/>
      <c r="BJ20" s="1148"/>
      <c r="BK20" s="1148"/>
      <c r="BL20" s="1148"/>
      <c r="BM20" s="1148"/>
      <c r="BN20" s="1148"/>
      <c r="BO20" s="1148"/>
      <c r="BP20" s="1148"/>
      <c r="BQ20" s="1148"/>
      <c r="BR20" s="1148"/>
      <c r="BS20" s="1148"/>
      <c r="BT20" s="1148"/>
      <c r="BU20" s="1148"/>
      <c r="BV20" s="1148"/>
      <c r="BW20" s="1148"/>
      <c r="BX20" s="1148"/>
      <c r="BY20" s="1148"/>
      <c r="BZ20" s="1148"/>
      <c r="CA20" s="1148"/>
      <c r="CB20" s="1148"/>
      <c r="CC20" s="1148"/>
      <c r="CD20" s="1148"/>
      <c r="CE20" s="1148"/>
      <c r="CF20" s="1148"/>
      <c r="CG20" s="1148"/>
      <c r="CH20" s="1148"/>
      <c r="CI20" s="1148"/>
      <c r="CJ20" s="1148"/>
      <c r="CK20" s="1148"/>
      <c r="CL20" s="1148"/>
      <c r="CM20" s="1148"/>
      <c r="CN20" s="1148"/>
      <c r="CO20" s="1148"/>
      <c r="CP20" s="1148"/>
      <c r="CQ20" s="1148"/>
      <c r="CR20" s="1148"/>
      <c r="CS20" s="1148"/>
      <c r="CT20" s="1148"/>
      <c r="CU20" s="1148"/>
      <c r="CV20" s="1148"/>
      <c r="CW20" s="1148"/>
      <c r="CX20" s="1148"/>
      <c r="CY20" s="1148"/>
      <c r="CZ20" s="1148"/>
      <c r="DA20" s="1148"/>
      <c r="DB20" s="1148"/>
      <c r="DC20" s="1148"/>
      <c r="DD20" s="1148"/>
      <c r="DE20" s="1148"/>
      <c r="DF20" s="1148"/>
      <c r="DG20" s="1148"/>
      <c r="DH20" s="1148"/>
      <c r="DI20" s="1148"/>
      <c r="DJ20" s="1148"/>
      <c r="DK20" s="1148"/>
      <c r="DL20" s="1148"/>
      <c r="DM20" s="1148"/>
      <c r="DN20" s="1148"/>
      <c r="DO20" s="1148"/>
      <c r="DP20" s="1148"/>
      <c r="DQ20" s="1148"/>
      <c r="DR20" s="1148"/>
      <c r="DS20" s="1148"/>
      <c r="DT20" s="1148"/>
      <c r="DU20" s="1148"/>
      <c r="DV20" s="1148"/>
      <c r="DW20" s="1148"/>
      <c r="DX20" s="1148"/>
      <c r="DY20" s="1148"/>
      <c r="DZ20" s="1148"/>
      <c r="EA20" s="1148"/>
    </row>
    <row r="21" spans="1:131" s="1149" customFormat="1" ht="35.1" customHeight="1">
      <c r="A21" s="1569"/>
      <c r="B21" s="1228" t="s">
        <v>800</v>
      </c>
      <c r="C21" s="1572"/>
      <c r="D21" s="1229">
        <f t="shared" si="1"/>
        <v>40293.484205521898</v>
      </c>
      <c r="E21" s="1230">
        <v>0</v>
      </c>
      <c r="F21" s="1230">
        <v>4.2859999999999996</v>
      </c>
      <c r="G21" s="1231"/>
      <c r="H21" s="1231">
        <v>24.11</v>
      </c>
      <c r="I21" s="1232">
        <f t="shared" ref="I21:I23" si="22">F21+G21+H21</f>
        <v>28.396000000000001</v>
      </c>
      <c r="J21" s="1233">
        <f>1222799.11+324702.01+449681.26+62330.55</f>
        <v>2059512.9300000002</v>
      </c>
      <c r="K21" s="1234">
        <v>0</v>
      </c>
      <c r="L21" s="1234">
        <v>0</v>
      </c>
      <c r="M21" s="1235">
        <f>J21+K21+L21</f>
        <v>2059512.9300000002</v>
      </c>
      <c r="N21" s="1233">
        <f>6929194.22+1839978.15+2548193.58+353206.45</f>
        <v>11670572.399999999</v>
      </c>
      <c r="O21" s="1234">
        <v>0</v>
      </c>
      <c r="P21" s="1234">
        <v>0</v>
      </c>
      <c r="Q21" s="1235">
        <f t="shared" ref="Q21:Q23" si="23">N21+O21+P21</f>
        <v>11670572.399999999</v>
      </c>
      <c r="R21" s="1233">
        <f>J21+N21</f>
        <v>13730085.329999998</v>
      </c>
      <c r="S21" s="1234">
        <f t="shared" si="21"/>
        <v>0</v>
      </c>
      <c r="T21" s="1234">
        <f t="shared" si="21"/>
        <v>0</v>
      </c>
      <c r="U21" s="1235">
        <f t="shared" ref="U21:U23" si="24">R21+S21+T21</f>
        <v>13730085.329999998</v>
      </c>
      <c r="V21" s="1148"/>
      <c r="W21" s="1150"/>
      <c r="X21" s="1148"/>
      <c r="Y21" s="1148"/>
      <c r="Z21" s="1148"/>
      <c r="AA21" s="1148"/>
      <c r="AB21" s="1148"/>
      <c r="AC21" s="1148"/>
      <c r="AD21" s="1148"/>
      <c r="AE21" s="1148"/>
      <c r="AF21" s="1148"/>
      <c r="AG21" s="1148"/>
      <c r="AH21" s="1148"/>
      <c r="AI21" s="1148"/>
      <c r="AJ21" s="1148"/>
      <c r="AK21" s="1148"/>
      <c r="AL21" s="1148"/>
      <c r="AM21" s="1148"/>
      <c r="AN21" s="1148"/>
      <c r="AO21" s="1148"/>
      <c r="AP21" s="1148"/>
      <c r="AQ21" s="1148"/>
      <c r="AR21" s="1148"/>
      <c r="AS21" s="1148"/>
      <c r="AT21" s="1148"/>
      <c r="AU21" s="1148"/>
      <c r="AV21" s="1148"/>
      <c r="AW21" s="1148"/>
      <c r="AX21" s="1148"/>
      <c r="AY21" s="1148"/>
      <c r="AZ21" s="1148"/>
      <c r="BA21" s="1148"/>
      <c r="BB21" s="1148"/>
      <c r="BC21" s="1148"/>
      <c r="BD21" s="1148"/>
      <c r="BE21" s="1148"/>
      <c r="BF21" s="1148"/>
      <c r="BG21" s="1148"/>
      <c r="BH21" s="1148"/>
      <c r="BI21" s="1148"/>
      <c r="BJ21" s="1148"/>
      <c r="BK21" s="1148"/>
      <c r="BL21" s="1148"/>
      <c r="BM21" s="1148"/>
      <c r="BN21" s="1148"/>
      <c r="BO21" s="1148"/>
      <c r="BP21" s="1148"/>
      <c r="BQ21" s="1148"/>
      <c r="BR21" s="1148"/>
      <c r="BS21" s="1148"/>
      <c r="BT21" s="1148"/>
      <c r="BU21" s="1148"/>
      <c r="BV21" s="1148"/>
      <c r="BW21" s="1148"/>
      <c r="BX21" s="1148"/>
      <c r="BY21" s="1148"/>
      <c r="BZ21" s="1148"/>
      <c r="CA21" s="1148"/>
      <c r="CB21" s="1148"/>
      <c r="CC21" s="1148"/>
      <c r="CD21" s="1148"/>
      <c r="CE21" s="1148"/>
      <c r="CF21" s="1148"/>
      <c r="CG21" s="1148"/>
      <c r="CH21" s="1148"/>
      <c r="CI21" s="1148"/>
      <c r="CJ21" s="1148"/>
      <c r="CK21" s="1148"/>
      <c r="CL21" s="1148"/>
      <c r="CM21" s="1148"/>
      <c r="CN21" s="1148"/>
      <c r="CO21" s="1148"/>
      <c r="CP21" s="1148"/>
      <c r="CQ21" s="1148"/>
      <c r="CR21" s="1148"/>
      <c r="CS21" s="1148"/>
      <c r="CT21" s="1148"/>
      <c r="CU21" s="1148"/>
      <c r="CV21" s="1148"/>
      <c r="CW21" s="1148"/>
      <c r="CX21" s="1148"/>
      <c r="CY21" s="1148"/>
      <c r="CZ21" s="1148"/>
      <c r="DA21" s="1148"/>
      <c r="DB21" s="1148"/>
      <c r="DC21" s="1148"/>
      <c r="DD21" s="1148"/>
      <c r="DE21" s="1148"/>
      <c r="DF21" s="1148"/>
      <c r="DG21" s="1148"/>
      <c r="DH21" s="1148"/>
      <c r="DI21" s="1148"/>
      <c r="DJ21" s="1148"/>
      <c r="DK21" s="1148"/>
      <c r="DL21" s="1148"/>
      <c r="DM21" s="1148"/>
      <c r="DN21" s="1148"/>
      <c r="DO21" s="1148"/>
      <c r="DP21" s="1148"/>
      <c r="DQ21" s="1148"/>
      <c r="DR21" s="1148"/>
      <c r="DS21" s="1148"/>
      <c r="DT21" s="1148"/>
      <c r="DU21" s="1148"/>
      <c r="DV21" s="1148"/>
      <c r="DW21" s="1148"/>
      <c r="DX21" s="1148"/>
      <c r="DY21" s="1148"/>
      <c r="DZ21" s="1148"/>
      <c r="EA21" s="1148"/>
    </row>
    <row r="22" spans="1:131" s="1149" customFormat="1" ht="35.1" customHeight="1">
      <c r="A22" s="1569"/>
      <c r="B22" s="1228" t="s">
        <v>801</v>
      </c>
      <c r="C22" s="1572"/>
      <c r="D22" s="1229"/>
      <c r="E22" s="1230">
        <v>0</v>
      </c>
      <c r="F22" s="1230"/>
      <c r="G22" s="1231"/>
      <c r="H22" s="1231"/>
      <c r="I22" s="1232">
        <f t="shared" si="22"/>
        <v>0</v>
      </c>
      <c r="J22" s="1233">
        <v>0</v>
      </c>
      <c r="K22" s="1234">
        <v>0</v>
      </c>
      <c r="L22" s="1234">
        <f>16607.25+357045.45+373621.95+232658.4+123864.45+29949.9+66232.5+53231.25+244789.5+379553.25+239473.5</f>
        <v>2117027.4</v>
      </c>
      <c r="M22" s="1235">
        <f t="shared" ref="M22:M23" si="25">J22+K22+L22</f>
        <v>2117027.4</v>
      </c>
      <c r="N22" s="1233">
        <v>0</v>
      </c>
      <c r="O22" s="1234">
        <v>0</v>
      </c>
      <c r="P22" s="1234">
        <f>94107.75+2023257.55+2117191.05+1318397.6+701898.55+169716.1+375317.5+301643.75+1387140.5+2150801.75+1357016.5</f>
        <v>11996488.599999998</v>
      </c>
      <c r="Q22" s="1235">
        <f t="shared" si="23"/>
        <v>11996488.599999998</v>
      </c>
      <c r="R22" s="1233">
        <f t="shared" ref="R22" si="26">J22+N22</f>
        <v>0</v>
      </c>
      <c r="S22" s="1234">
        <f t="shared" si="21"/>
        <v>0</v>
      </c>
      <c r="T22" s="1234">
        <f t="shared" si="21"/>
        <v>14113515.999999998</v>
      </c>
      <c r="U22" s="1235">
        <f t="shared" si="24"/>
        <v>14113515.999999998</v>
      </c>
      <c r="V22" s="1148"/>
      <c r="W22" s="1150"/>
      <c r="X22" s="1148"/>
      <c r="Y22" s="1148"/>
      <c r="Z22" s="1148"/>
      <c r="AA22" s="1148"/>
      <c r="AB22" s="1148"/>
      <c r="AC22" s="1148"/>
      <c r="AD22" s="1148"/>
      <c r="AE22" s="1148"/>
      <c r="AF22" s="1148"/>
      <c r="AG22" s="1148"/>
      <c r="AH22" s="1148"/>
      <c r="AI22" s="1148"/>
      <c r="AJ22" s="1148"/>
      <c r="AK22" s="1148"/>
      <c r="AL22" s="1148"/>
      <c r="AM22" s="1148"/>
      <c r="AN22" s="1148"/>
      <c r="AO22" s="1148"/>
      <c r="AP22" s="1148"/>
      <c r="AQ22" s="1148"/>
      <c r="AR22" s="1148"/>
      <c r="AS22" s="1148"/>
      <c r="AT22" s="1148"/>
      <c r="AU22" s="1148"/>
      <c r="AV22" s="1148"/>
      <c r="AW22" s="1148"/>
      <c r="AX22" s="1148"/>
      <c r="AY22" s="1148"/>
      <c r="AZ22" s="1148"/>
      <c r="BA22" s="1148"/>
      <c r="BB22" s="1148"/>
      <c r="BC22" s="1148"/>
      <c r="BD22" s="1148"/>
      <c r="BE22" s="1148"/>
      <c r="BF22" s="1148"/>
      <c r="BG22" s="1148"/>
      <c r="BH22" s="1148"/>
      <c r="BI22" s="1148"/>
      <c r="BJ22" s="1148"/>
      <c r="BK22" s="1148"/>
      <c r="BL22" s="1148"/>
      <c r="BM22" s="1148"/>
      <c r="BN22" s="1148"/>
      <c r="BO22" s="1148"/>
      <c r="BP22" s="1148"/>
      <c r="BQ22" s="1148"/>
      <c r="BR22" s="1148"/>
      <c r="BS22" s="1148"/>
      <c r="BT22" s="1148"/>
      <c r="BU22" s="1148"/>
      <c r="BV22" s="1148"/>
      <c r="BW22" s="1148"/>
      <c r="BX22" s="1148"/>
      <c r="BY22" s="1148"/>
      <c r="BZ22" s="1148"/>
      <c r="CA22" s="1148"/>
      <c r="CB22" s="1148"/>
      <c r="CC22" s="1148"/>
      <c r="CD22" s="1148"/>
      <c r="CE22" s="1148"/>
      <c r="CF22" s="1148"/>
      <c r="CG22" s="1148"/>
      <c r="CH22" s="1148"/>
      <c r="CI22" s="1148"/>
      <c r="CJ22" s="1148"/>
      <c r="CK22" s="1148"/>
      <c r="CL22" s="1148"/>
      <c r="CM22" s="1148"/>
      <c r="CN22" s="1148"/>
      <c r="CO22" s="1148"/>
      <c r="CP22" s="1148"/>
      <c r="CQ22" s="1148"/>
      <c r="CR22" s="1148"/>
      <c r="CS22" s="1148"/>
      <c r="CT22" s="1148"/>
      <c r="CU22" s="1148"/>
      <c r="CV22" s="1148"/>
      <c r="CW22" s="1148"/>
      <c r="CX22" s="1148"/>
      <c r="CY22" s="1148"/>
      <c r="CZ22" s="1148"/>
      <c r="DA22" s="1148"/>
      <c r="DB22" s="1148"/>
      <c r="DC22" s="1148"/>
      <c r="DD22" s="1148"/>
      <c r="DE22" s="1148"/>
      <c r="DF22" s="1148"/>
      <c r="DG22" s="1148"/>
      <c r="DH22" s="1148"/>
      <c r="DI22" s="1148"/>
      <c r="DJ22" s="1148"/>
      <c r="DK22" s="1148"/>
      <c r="DL22" s="1148"/>
      <c r="DM22" s="1148"/>
      <c r="DN22" s="1148"/>
      <c r="DO22" s="1148"/>
      <c r="DP22" s="1148"/>
      <c r="DQ22" s="1148"/>
      <c r="DR22" s="1148"/>
      <c r="DS22" s="1148"/>
      <c r="DT22" s="1148"/>
      <c r="DU22" s="1148"/>
      <c r="DV22" s="1148"/>
      <c r="DW22" s="1148"/>
      <c r="DX22" s="1148"/>
      <c r="DY22" s="1148"/>
      <c r="DZ22" s="1148"/>
      <c r="EA22" s="1148"/>
    </row>
    <row r="23" spans="1:131" s="1149" customFormat="1" ht="35.1" customHeight="1" thickBot="1">
      <c r="A23" s="1570"/>
      <c r="B23" s="1236" t="s">
        <v>802</v>
      </c>
      <c r="C23" s="1573"/>
      <c r="D23" s="1237">
        <f t="shared" si="1"/>
        <v>41727.668594251685</v>
      </c>
      <c r="E23" s="1238">
        <v>0</v>
      </c>
      <c r="F23" s="1238">
        <f>F20+F21+F22</f>
        <v>4.5299999999999994</v>
      </c>
      <c r="G23" s="1239">
        <f t="shared" ref="G23:H23" si="27">G20+G21+G22</f>
        <v>0</v>
      </c>
      <c r="H23" s="1239">
        <f t="shared" si="27"/>
        <v>25.472999999999999</v>
      </c>
      <c r="I23" s="1240">
        <f t="shared" si="22"/>
        <v>30.003</v>
      </c>
      <c r="J23" s="1241">
        <f>J20+J21+J22</f>
        <v>2253519.6</v>
      </c>
      <c r="K23" s="1242">
        <f t="shared" ref="K23:L23" si="28">K20+K21+K22</f>
        <v>0</v>
      </c>
      <c r="L23" s="1242">
        <f t="shared" si="28"/>
        <v>2117027.4</v>
      </c>
      <c r="M23" s="1243">
        <f t="shared" si="25"/>
        <v>4370547</v>
      </c>
      <c r="N23" s="1241">
        <f>N20+N21+N22</f>
        <v>12769943.289999999</v>
      </c>
      <c r="O23" s="1242">
        <f t="shared" ref="O23:P23" si="29">O20+O21+O22</f>
        <v>0</v>
      </c>
      <c r="P23" s="1242">
        <f t="shared" si="29"/>
        <v>11996488.599999998</v>
      </c>
      <c r="Q23" s="1243">
        <f t="shared" si="23"/>
        <v>24766431.889999997</v>
      </c>
      <c r="R23" s="1241">
        <f>R20+R21+R22</f>
        <v>15023462.889999999</v>
      </c>
      <c r="S23" s="1242">
        <f t="shared" ref="S23:T23" si="30">S20+S21+S22</f>
        <v>0</v>
      </c>
      <c r="T23" s="1242">
        <f t="shared" si="30"/>
        <v>14113515.999999998</v>
      </c>
      <c r="U23" s="1243">
        <f t="shared" si="24"/>
        <v>29136978.889999997</v>
      </c>
      <c r="V23" s="1150"/>
      <c r="W23" s="1150"/>
      <c r="X23" s="1148"/>
      <c r="Y23" s="1148"/>
      <c r="Z23" s="1148"/>
      <c r="AA23" s="1148"/>
      <c r="AB23" s="1148"/>
      <c r="AC23" s="1148"/>
      <c r="AD23" s="1148"/>
      <c r="AE23" s="1148"/>
      <c r="AF23" s="1148"/>
      <c r="AG23" s="1148"/>
      <c r="AH23" s="1148"/>
      <c r="AI23" s="1148"/>
      <c r="AJ23" s="1148"/>
      <c r="AK23" s="1148"/>
      <c r="AL23" s="1148"/>
      <c r="AM23" s="1148"/>
      <c r="AN23" s="1148"/>
      <c r="AO23" s="1148"/>
      <c r="AP23" s="1148"/>
      <c r="AQ23" s="1148"/>
      <c r="AR23" s="1148"/>
      <c r="AS23" s="1148"/>
      <c r="AT23" s="1148"/>
      <c r="AU23" s="1148"/>
      <c r="AV23" s="1148"/>
      <c r="AW23" s="1148"/>
      <c r="AX23" s="1148"/>
      <c r="AY23" s="1148"/>
      <c r="AZ23" s="1148"/>
      <c r="BA23" s="1148"/>
      <c r="BB23" s="1148"/>
      <c r="BC23" s="1148"/>
      <c r="BD23" s="1148"/>
      <c r="BE23" s="1148"/>
      <c r="BF23" s="1148"/>
      <c r="BG23" s="1148"/>
      <c r="BH23" s="1148"/>
      <c r="BI23" s="1148"/>
      <c r="BJ23" s="1148"/>
      <c r="BK23" s="1148"/>
      <c r="BL23" s="1148"/>
      <c r="BM23" s="1148"/>
      <c r="BN23" s="1148"/>
      <c r="BO23" s="1148"/>
      <c r="BP23" s="1148"/>
      <c r="BQ23" s="1148"/>
      <c r="BR23" s="1148"/>
      <c r="BS23" s="1148"/>
      <c r="BT23" s="1148"/>
      <c r="BU23" s="1148"/>
      <c r="BV23" s="1148"/>
      <c r="BW23" s="1148"/>
      <c r="BX23" s="1148"/>
      <c r="BY23" s="1148"/>
      <c r="BZ23" s="1148"/>
      <c r="CA23" s="1148"/>
      <c r="CB23" s="1148"/>
      <c r="CC23" s="1148"/>
      <c r="CD23" s="1148"/>
      <c r="CE23" s="1148"/>
      <c r="CF23" s="1148"/>
      <c r="CG23" s="1148"/>
      <c r="CH23" s="1148"/>
      <c r="CI23" s="1148"/>
      <c r="CJ23" s="1148"/>
      <c r="CK23" s="1148"/>
      <c r="CL23" s="1148"/>
      <c r="CM23" s="1148"/>
      <c r="CN23" s="1148"/>
      <c r="CO23" s="1148"/>
      <c r="CP23" s="1148"/>
      <c r="CQ23" s="1148"/>
      <c r="CR23" s="1148"/>
      <c r="CS23" s="1148"/>
      <c r="CT23" s="1148"/>
      <c r="CU23" s="1148"/>
      <c r="CV23" s="1148"/>
      <c r="CW23" s="1148"/>
      <c r="CX23" s="1148"/>
      <c r="CY23" s="1148"/>
      <c r="CZ23" s="1148"/>
      <c r="DA23" s="1148"/>
      <c r="DB23" s="1148"/>
      <c r="DC23" s="1148"/>
      <c r="DD23" s="1148"/>
      <c r="DE23" s="1148"/>
      <c r="DF23" s="1148"/>
      <c r="DG23" s="1148"/>
      <c r="DH23" s="1148"/>
      <c r="DI23" s="1148"/>
      <c r="DJ23" s="1148"/>
      <c r="DK23" s="1148"/>
      <c r="DL23" s="1148"/>
      <c r="DM23" s="1148"/>
      <c r="DN23" s="1148"/>
      <c r="DO23" s="1148"/>
      <c r="DP23" s="1148"/>
      <c r="DQ23" s="1148"/>
      <c r="DR23" s="1148"/>
      <c r="DS23" s="1148"/>
      <c r="DT23" s="1148"/>
      <c r="DU23" s="1148"/>
      <c r="DV23" s="1148"/>
      <c r="DW23" s="1148"/>
      <c r="DX23" s="1148"/>
      <c r="DY23" s="1148"/>
      <c r="DZ23" s="1148"/>
      <c r="EA23" s="1148"/>
    </row>
    <row r="24" spans="1:131" s="1149" customFormat="1" ht="35.1" customHeight="1">
      <c r="A24" s="1568" t="s">
        <v>824</v>
      </c>
      <c r="B24" s="1220" t="s">
        <v>52</v>
      </c>
      <c r="C24" s="1571">
        <v>46</v>
      </c>
      <c r="D24" s="1221">
        <f t="shared" si="1"/>
        <v>30517.861111111109</v>
      </c>
      <c r="E24" s="1222">
        <v>0</v>
      </c>
      <c r="F24" s="1222">
        <v>0.10199999999999999</v>
      </c>
      <c r="G24" s="1223"/>
      <c r="H24" s="1223">
        <v>0.40799999999999997</v>
      </c>
      <c r="I24" s="1224">
        <f>F24+G24+H24</f>
        <v>0.51</v>
      </c>
      <c r="J24" s="1225">
        <v>37353.839999999997</v>
      </c>
      <c r="K24" s="1226">
        <v>0</v>
      </c>
      <c r="L24" s="1226">
        <v>0</v>
      </c>
      <c r="M24" s="1227">
        <f>J24+K24+L24</f>
        <v>37353.839999999997</v>
      </c>
      <c r="N24" s="1225">
        <v>149415.47</v>
      </c>
      <c r="O24" s="1226">
        <v>0</v>
      </c>
      <c r="P24" s="1226">
        <v>0</v>
      </c>
      <c r="Q24" s="1227">
        <f>N24+O24+P24</f>
        <v>149415.47</v>
      </c>
      <c r="R24" s="1225">
        <f>J24+N24</f>
        <v>186769.31</v>
      </c>
      <c r="S24" s="1226">
        <f t="shared" ref="S24:T26" si="31">K24+O24</f>
        <v>0</v>
      </c>
      <c r="T24" s="1226">
        <f t="shared" si="31"/>
        <v>0</v>
      </c>
      <c r="U24" s="1227">
        <f>R24+S24+T24</f>
        <v>186769.31</v>
      </c>
      <c r="V24" s="1148"/>
      <c r="W24" s="1150"/>
      <c r="X24" s="1148"/>
      <c r="Y24" s="1148"/>
      <c r="Z24" s="1148"/>
      <c r="AA24" s="1148"/>
      <c r="AB24" s="1148"/>
      <c r="AC24" s="1148"/>
      <c r="AD24" s="1148"/>
      <c r="AE24" s="1148"/>
      <c r="AF24" s="1148"/>
      <c r="AG24" s="1148"/>
      <c r="AH24" s="1148"/>
      <c r="AI24" s="1148"/>
      <c r="AJ24" s="1148"/>
      <c r="AK24" s="1148"/>
      <c r="AL24" s="1148"/>
      <c r="AM24" s="1148"/>
      <c r="AN24" s="1148"/>
      <c r="AO24" s="1148"/>
      <c r="AP24" s="1148"/>
      <c r="AQ24" s="1148"/>
      <c r="AR24" s="1148"/>
      <c r="AS24" s="1148"/>
      <c r="AT24" s="1148"/>
      <c r="AU24" s="1148"/>
      <c r="AV24" s="1148"/>
      <c r="AW24" s="1148"/>
      <c r="AX24" s="1148"/>
      <c r="AY24" s="1148"/>
      <c r="AZ24" s="1148"/>
      <c r="BA24" s="1148"/>
      <c r="BB24" s="1148"/>
      <c r="BC24" s="1148"/>
      <c r="BD24" s="1148"/>
      <c r="BE24" s="1148"/>
      <c r="BF24" s="1148"/>
      <c r="BG24" s="1148"/>
      <c r="BH24" s="1148"/>
      <c r="BI24" s="1148"/>
      <c r="BJ24" s="1148"/>
      <c r="BK24" s="1148"/>
      <c r="BL24" s="1148"/>
      <c r="BM24" s="1148"/>
      <c r="BN24" s="1148"/>
      <c r="BO24" s="1148"/>
      <c r="BP24" s="1148"/>
      <c r="BQ24" s="1148"/>
      <c r="BR24" s="1148"/>
      <c r="BS24" s="1148"/>
      <c r="BT24" s="1148"/>
      <c r="BU24" s="1148"/>
      <c r="BV24" s="1148"/>
      <c r="BW24" s="1148"/>
      <c r="BX24" s="1148"/>
      <c r="BY24" s="1148"/>
      <c r="BZ24" s="1148"/>
      <c r="CA24" s="1148"/>
      <c r="CB24" s="1148"/>
      <c r="CC24" s="1148"/>
      <c r="CD24" s="1148"/>
      <c r="CE24" s="1148"/>
      <c r="CF24" s="1148"/>
      <c r="CG24" s="1148"/>
      <c r="CH24" s="1148"/>
      <c r="CI24" s="1148"/>
      <c r="CJ24" s="1148"/>
      <c r="CK24" s="1148"/>
      <c r="CL24" s="1148"/>
      <c r="CM24" s="1148"/>
      <c r="CN24" s="1148"/>
      <c r="CO24" s="1148"/>
      <c r="CP24" s="1148"/>
      <c r="CQ24" s="1148"/>
      <c r="CR24" s="1148"/>
      <c r="CS24" s="1148"/>
      <c r="CT24" s="1148"/>
      <c r="CU24" s="1148"/>
      <c r="CV24" s="1148"/>
      <c r="CW24" s="1148"/>
      <c r="CX24" s="1148"/>
      <c r="CY24" s="1148"/>
      <c r="CZ24" s="1148"/>
      <c r="DA24" s="1148"/>
      <c r="DB24" s="1148"/>
      <c r="DC24" s="1148"/>
      <c r="DD24" s="1148"/>
      <c r="DE24" s="1148"/>
      <c r="DF24" s="1148"/>
      <c r="DG24" s="1148"/>
      <c r="DH24" s="1148"/>
      <c r="DI24" s="1148"/>
      <c r="DJ24" s="1148"/>
      <c r="DK24" s="1148"/>
      <c r="DL24" s="1148"/>
      <c r="DM24" s="1148"/>
      <c r="DN24" s="1148"/>
      <c r="DO24" s="1148"/>
      <c r="DP24" s="1148"/>
      <c r="DQ24" s="1148"/>
      <c r="DR24" s="1148"/>
      <c r="DS24" s="1148"/>
      <c r="DT24" s="1148"/>
      <c r="DU24" s="1148"/>
      <c r="DV24" s="1148"/>
      <c r="DW24" s="1148"/>
      <c r="DX24" s="1148"/>
      <c r="DY24" s="1148"/>
      <c r="DZ24" s="1148"/>
      <c r="EA24" s="1148"/>
    </row>
    <row r="25" spans="1:131" s="1149" customFormat="1" ht="35.1" customHeight="1">
      <c r="A25" s="1569"/>
      <c r="B25" s="1228" t="s">
        <v>800</v>
      </c>
      <c r="C25" s="1572"/>
      <c r="D25" s="1229">
        <f t="shared" si="1"/>
        <v>28601.506100831317</v>
      </c>
      <c r="E25" s="1230">
        <v>0</v>
      </c>
      <c r="F25" s="1230">
        <v>0.499</v>
      </c>
      <c r="G25" s="1231"/>
      <c r="H25" s="1231">
        <v>1.9870000000000001</v>
      </c>
      <c r="I25" s="1232">
        <f t="shared" ref="I25:I27" si="32">F25+G25+H25</f>
        <v>2.4860000000000002</v>
      </c>
      <c r="J25" s="1233">
        <v>170648.06</v>
      </c>
      <c r="K25" s="1234">
        <v>0</v>
      </c>
      <c r="L25" s="1234">
        <v>0</v>
      </c>
      <c r="M25" s="1235">
        <f t="shared" ref="M25:M27" si="33">J25+K25+L25</f>
        <v>170648.06</v>
      </c>
      <c r="N25" s="1233">
        <v>682592.07</v>
      </c>
      <c r="O25" s="1234">
        <v>0</v>
      </c>
      <c r="P25" s="1234">
        <v>0</v>
      </c>
      <c r="Q25" s="1235">
        <f t="shared" ref="Q25:Q27" si="34">N25+O25+P25</f>
        <v>682592.07</v>
      </c>
      <c r="R25" s="1233">
        <f t="shared" ref="R25:R26" si="35">J25+N25</f>
        <v>853240.12999999989</v>
      </c>
      <c r="S25" s="1234">
        <f t="shared" si="31"/>
        <v>0</v>
      </c>
      <c r="T25" s="1234">
        <f t="shared" si="31"/>
        <v>0</v>
      </c>
      <c r="U25" s="1235">
        <f t="shared" ref="U25:U27" si="36">R25+S25+T25</f>
        <v>853240.12999999989</v>
      </c>
      <c r="V25" s="1148"/>
      <c r="W25" s="1150"/>
      <c r="X25" s="1148"/>
      <c r="Y25" s="1148"/>
      <c r="Z25" s="1148"/>
      <c r="AA25" s="1148"/>
      <c r="AB25" s="1148"/>
      <c r="AC25" s="1148"/>
      <c r="AD25" s="1148"/>
      <c r="AE25" s="1148"/>
      <c r="AF25" s="1148"/>
      <c r="AG25" s="1148"/>
      <c r="AH25" s="1148"/>
      <c r="AI25" s="1148"/>
      <c r="AJ25" s="1148"/>
      <c r="AK25" s="1148"/>
      <c r="AL25" s="1148"/>
      <c r="AM25" s="1148"/>
      <c r="AN25" s="1148"/>
      <c r="AO25" s="1148"/>
      <c r="AP25" s="1148"/>
      <c r="AQ25" s="1148"/>
      <c r="AR25" s="1148"/>
      <c r="AS25" s="1148"/>
      <c r="AT25" s="1148"/>
      <c r="AU25" s="1148"/>
      <c r="AV25" s="1148"/>
      <c r="AW25" s="1148"/>
      <c r="AX25" s="1148"/>
      <c r="AY25" s="1148"/>
      <c r="AZ25" s="1148"/>
      <c r="BA25" s="1148"/>
      <c r="BB25" s="1148"/>
      <c r="BC25" s="1148"/>
      <c r="BD25" s="1148"/>
      <c r="BE25" s="1148"/>
      <c r="BF25" s="1148"/>
      <c r="BG25" s="1148"/>
      <c r="BH25" s="1148"/>
      <c r="BI25" s="1148"/>
      <c r="BJ25" s="1148"/>
      <c r="BK25" s="1148"/>
      <c r="BL25" s="1148"/>
      <c r="BM25" s="1148"/>
      <c r="BN25" s="1148"/>
      <c r="BO25" s="1148"/>
      <c r="BP25" s="1148"/>
      <c r="BQ25" s="1148"/>
      <c r="BR25" s="1148"/>
      <c r="BS25" s="1148"/>
      <c r="BT25" s="1148"/>
      <c r="BU25" s="1148"/>
      <c r="BV25" s="1148"/>
      <c r="BW25" s="1148"/>
      <c r="BX25" s="1148"/>
      <c r="BY25" s="1148"/>
      <c r="BZ25" s="1148"/>
      <c r="CA25" s="1148"/>
      <c r="CB25" s="1148"/>
      <c r="CC25" s="1148"/>
      <c r="CD25" s="1148"/>
      <c r="CE25" s="1148"/>
      <c r="CF25" s="1148"/>
      <c r="CG25" s="1148"/>
      <c r="CH25" s="1148"/>
      <c r="CI25" s="1148"/>
      <c r="CJ25" s="1148"/>
      <c r="CK25" s="1148"/>
      <c r="CL25" s="1148"/>
      <c r="CM25" s="1148"/>
      <c r="CN25" s="1148"/>
      <c r="CO25" s="1148"/>
      <c r="CP25" s="1148"/>
      <c r="CQ25" s="1148"/>
      <c r="CR25" s="1148"/>
      <c r="CS25" s="1148"/>
      <c r="CT25" s="1148"/>
      <c r="CU25" s="1148"/>
      <c r="CV25" s="1148"/>
      <c r="CW25" s="1148"/>
      <c r="CX25" s="1148"/>
      <c r="CY25" s="1148"/>
      <c r="CZ25" s="1148"/>
      <c r="DA25" s="1148"/>
      <c r="DB25" s="1148"/>
      <c r="DC25" s="1148"/>
      <c r="DD25" s="1148"/>
      <c r="DE25" s="1148"/>
      <c r="DF25" s="1148"/>
      <c r="DG25" s="1148"/>
      <c r="DH25" s="1148"/>
      <c r="DI25" s="1148"/>
      <c r="DJ25" s="1148"/>
      <c r="DK25" s="1148"/>
      <c r="DL25" s="1148"/>
      <c r="DM25" s="1148"/>
      <c r="DN25" s="1148"/>
      <c r="DO25" s="1148"/>
      <c r="DP25" s="1148"/>
      <c r="DQ25" s="1148"/>
      <c r="DR25" s="1148"/>
      <c r="DS25" s="1148"/>
      <c r="DT25" s="1148"/>
      <c r="DU25" s="1148"/>
      <c r="DV25" s="1148"/>
      <c r="DW25" s="1148"/>
      <c r="DX25" s="1148"/>
      <c r="DY25" s="1148"/>
      <c r="DZ25" s="1148"/>
      <c r="EA25" s="1148"/>
    </row>
    <row r="26" spans="1:131" s="1149" customFormat="1" ht="35.1" customHeight="1">
      <c r="A26" s="1569"/>
      <c r="B26" s="1228" t="s">
        <v>801</v>
      </c>
      <c r="C26" s="1572"/>
      <c r="D26" s="1229"/>
      <c r="E26" s="1230">
        <v>0</v>
      </c>
      <c r="F26" s="1230"/>
      <c r="G26" s="1231"/>
      <c r="H26" s="1231"/>
      <c r="I26" s="1232">
        <f t="shared" si="32"/>
        <v>0</v>
      </c>
      <c r="J26" s="1233">
        <v>0</v>
      </c>
      <c r="K26" s="1234">
        <v>0</v>
      </c>
      <c r="L26" s="1234">
        <v>2040</v>
      </c>
      <c r="M26" s="1235">
        <f t="shared" si="33"/>
        <v>2040</v>
      </c>
      <c r="N26" s="1233">
        <v>0</v>
      </c>
      <c r="O26" s="1234">
        <v>0</v>
      </c>
      <c r="P26" s="1234">
        <v>8160</v>
      </c>
      <c r="Q26" s="1235">
        <f t="shared" si="34"/>
        <v>8160</v>
      </c>
      <c r="R26" s="1233">
        <f t="shared" si="35"/>
        <v>0</v>
      </c>
      <c r="S26" s="1234">
        <f t="shared" si="31"/>
        <v>0</v>
      </c>
      <c r="T26" s="1234">
        <f t="shared" si="31"/>
        <v>10200</v>
      </c>
      <c r="U26" s="1235">
        <f t="shared" si="36"/>
        <v>10200</v>
      </c>
      <c r="V26" s="1148"/>
      <c r="W26" s="1150"/>
      <c r="X26" s="1148"/>
      <c r="Y26" s="1148"/>
      <c r="Z26" s="1148"/>
      <c r="AA26" s="1148"/>
      <c r="AB26" s="1148"/>
      <c r="AC26" s="1148"/>
      <c r="AD26" s="1148"/>
      <c r="AE26" s="1148"/>
      <c r="AF26" s="1148"/>
      <c r="AG26" s="1148"/>
      <c r="AH26" s="1148"/>
      <c r="AI26" s="1148"/>
      <c r="AJ26" s="1148"/>
      <c r="AK26" s="1148"/>
      <c r="AL26" s="1148"/>
      <c r="AM26" s="1148"/>
      <c r="AN26" s="1148"/>
      <c r="AO26" s="1148"/>
      <c r="AP26" s="1148"/>
      <c r="AQ26" s="1148"/>
      <c r="AR26" s="1148"/>
      <c r="AS26" s="1148"/>
      <c r="AT26" s="1148"/>
      <c r="AU26" s="1148"/>
      <c r="AV26" s="1148"/>
      <c r="AW26" s="1148"/>
      <c r="AX26" s="1148"/>
      <c r="AY26" s="1148"/>
      <c r="AZ26" s="1148"/>
      <c r="BA26" s="1148"/>
      <c r="BB26" s="1148"/>
      <c r="BC26" s="1148"/>
      <c r="BD26" s="1148"/>
      <c r="BE26" s="1148"/>
      <c r="BF26" s="1148"/>
      <c r="BG26" s="1148"/>
      <c r="BH26" s="1148"/>
      <c r="BI26" s="1148"/>
      <c r="BJ26" s="1148"/>
      <c r="BK26" s="1148"/>
      <c r="BL26" s="1148"/>
      <c r="BM26" s="1148"/>
      <c r="BN26" s="1148"/>
      <c r="BO26" s="1148"/>
      <c r="BP26" s="1148"/>
      <c r="BQ26" s="1148"/>
      <c r="BR26" s="1148"/>
      <c r="BS26" s="1148"/>
      <c r="BT26" s="1148"/>
      <c r="BU26" s="1148"/>
      <c r="BV26" s="1148"/>
      <c r="BW26" s="1148"/>
      <c r="BX26" s="1148"/>
      <c r="BY26" s="1148"/>
      <c r="BZ26" s="1148"/>
      <c r="CA26" s="1148"/>
      <c r="CB26" s="1148"/>
      <c r="CC26" s="1148"/>
      <c r="CD26" s="1148"/>
      <c r="CE26" s="1148"/>
      <c r="CF26" s="1148"/>
      <c r="CG26" s="1148"/>
      <c r="CH26" s="1148"/>
      <c r="CI26" s="1148"/>
      <c r="CJ26" s="1148"/>
      <c r="CK26" s="1148"/>
      <c r="CL26" s="1148"/>
      <c r="CM26" s="1148"/>
      <c r="CN26" s="1148"/>
      <c r="CO26" s="1148"/>
      <c r="CP26" s="1148"/>
      <c r="CQ26" s="1148"/>
      <c r="CR26" s="1148"/>
      <c r="CS26" s="1148"/>
      <c r="CT26" s="1148"/>
      <c r="CU26" s="1148"/>
      <c r="CV26" s="1148"/>
      <c r="CW26" s="1148"/>
      <c r="CX26" s="1148"/>
      <c r="CY26" s="1148"/>
      <c r="CZ26" s="1148"/>
      <c r="DA26" s="1148"/>
      <c r="DB26" s="1148"/>
      <c r="DC26" s="1148"/>
      <c r="DD26" s="1148"/>
      <c r="DE26" s="1148"/>
      <c r="DF26" s="1148"/>
      <c r="DG26" s="1148"/>
      <c r="DH26" s="1148"/>
      <c r="DI26" s="1148"/>
      <c r="DJ26" s="1148"/>
      <c r="DK26" s="1148"/>
      <c r="DL26" s="1148"/>
      <c r="DM26" s="1148"/>
      <c r="DN26" s="1148"/>
      <c r="DO26" s="1148"/>
      <c r="DP26" s="1148"/>
      <c r="DQ26" s="1148"/>
      <c r="DR26" s="1148"/>
      <c r="DS26" s="1148"/>
      <c r="DT26" s="1148"/>
      <c r="DU26" s="1148"/>
      <c r="DV26" s="1148"/>
      <c r="DW26" s="1148"/>
      <c r="DX26" s="1148"/>
      <c r="DY26" s="1148"/>
      <c r="DZ26" s="1148"/>
      <c r="EA26" s="1148"/>
    </row>
    <row r="27" spans="1:131" s="1149" customFormat="1" ht="35.1" customHeight="1" thickBot="1">
      <c r="A27" s="1570"/>
      <c r="B27" s="1236" t="s">
        <v>802</v>
      </c>
      <c r="C27" s="1573"/>
      <c r="D27" s="1237">
        <f t="shared" si="1"/>
        <v>28927.721406319539</v>
      </c>
      <c r="E27" s="1238">
        <v>0</v>
      </c>
      <c r="F27" s="1238">
        <f>F24+F25+F26</f>
        <v>0.60099999999999998</v>
      </c>
      <c r="G27" s="1239">
        <f t="shared" ref="G27:H27" si="37">G24+G25+G26</f>
        <v>0</v>
      </c>
      <c r="H27" s="1239">
        <f t="shared" si="37"/>
        <v>2.395</v>
      </c>
      <c r="I27" s="1240">
        <f t="shared" si="32"/>
        <v>2.996</v>
      </c>
      <c r="J27" s="1241">
        <f>J24+J25+J26</f>
        <v>208001.9</v>
      </c>
      <c r="K27" s="1242">
        <f t="shared" ref="K27:L27" si="38">K24+K25+K26</f>
        <v>0</v>
      </c>
      <c r="L27" s="1242">
        <f t="shared" si="38"/>
        <v>2040</v>
      </c>
      <c r="M27" s="1243">
        <f t="shared" si="33"/>
        <v>210041.9</v>
      </c>
      <c r="N27" s="1241">
        <f>N24+N25+N26</f>
        <v>832007.53999999992</v>
      </c>
      <c r="O27" s="1242">
        <f t="shared" ref="O27:P27" si="39">O24+O25+O26</f>
        <v>0</v>
      </c>
      <c r="P27" s="1242">
        <f t="shared" si="39"/>
        <v>8160</v>
      </c>
      <c r="Q27" s="1243">
        <f t="shared" si="34"/>
        <v>840167.53999999992</v>
      </c>
      <c r="R27" s="1241">
        <f>R24+R25+R26</f>
        <v>1040009.44</v>
      </c>
      <c r="S27" s="1242">
        <f t="shared" ref="S27:T27" si="40">S24+S25+S26</f>
        <v>0</v>
      </c>
      <c r="T27" s="1242">
        <f t="shared" si="40"/>
        <v>10200</v>
      </c>
      <c r="U27" s="1243">
        <f t="shared" si="36"/>
        <v>1050209.44</v>
      </c>
      <c r="V27" s="1150"/>
      <c r="W27" s="1150"/>
      <c r="X27" s="1148"/>
      <c r="Y27" s="1148"/>
      <c r="Z27" s="1148"/>
      <c r="AA27" s="1148"/>
      <c r="AB27" s="1148"/>
      <c r="AC27" s="1148"/>
      <c r="AD27" s="1148"/>
      <c r="AE27" s="1148"/>
      <c r="AF27" s="1148"/>
      <c r="AG27" s="1148"/>
      <c r="AH27" s="1148"/>
      <c r="AI27" s="1148"/>
      <c r="AJ27" s="1148"/>
      <c r="AK27" s="1148"/>
      <c r="AL27" s="1148"/>
      <c r="AM27" s="1148"/>
      <c r="AN27" s="1148"/>
      <c r="AO27" s="1148"/>
      <c r="AP27" s="1148"/>
      <c r="AQ27" s="1148"/>
      <c r="AR27" s="1148"/>
      <c r="AS27" s="1148"/>
      <c r="AT27" s="1148"/>
      <c r="AU27" s="1148"/>
      <c r="AV27" s="1148"/>
      <c r="AW27" s="1148"/>
      <c r="AX27" s="1148"/>
      <c r="AY27" s="1148"/>
      <c r="AZ27" s="1148"/>
      <c r="BA27" s="1148"/>
      <c r="BB27" s="1148"/>
      <c r="BC27" s="1148"/>
      <c r="BD27" s="1148"/>
      <c r="BE27" s="1148"/>
      <c r="BF27" s="1148"/>
      <c r="BG27" s="1148"/>
      <c r="BH27" s="1148"/>
      <c r="BI27" s="1148"/>
      <c r="BJ27" s="1148"/>
      <c r="BK27" s="1148"/>
      <c r="BL27" s="1148"/>
      <c r="BM27" s="1148"/>
      <c r="BN27" s="1148"/>
      <c r="BO27" s="1148"/>
      <c r="BP27" s="1148"/>
      <c r="BQ27" s="1148"/>
      <c r="BR27" s="1148"/>
      <c r="BS27" s="1148"/>
      <c r="BT27" s="1148"/>
      <c r="BU27" s="1148"/>
      <c r="BV27" s="1148"/>
      <c r="BW27" s="1148"/>
      <c r="BX27" s="1148"/>
      <c r="BY27" s="1148"/>
      <c r="BZ27" s="1148"/>
      <c r="CA27" s="1148"/>
      <c r="CB27" s="1148"/>
      <c r="CC27" s="1148"/>
      <c r="CD27" s="1148"/>
      <c r="CE27" s="1148"/>
      <c r="CF27" s="1148"/>
      <c r="CG27" s="1148"/>
      <c r="CH27" s="1148"/>
      <c r="CI27" s="1148"/>
      <c r="CJ27" s="1148"/>
      <c r="CK27" s="1148"/>
      <c r="CL27" s="1148"/>
      <c r="CM27" s="1148"/>
      <c r="CN27" s="1148"/>
      <c r="CO27" s="1148"/>
      <c r="CP27" s="1148"/>
      <c r="CQ27" s="1148"/>
      <c r="CR27" s="1148"/>
      <c r="CS27" s="1148"/>
      <c r="CT27" s="1148"/>
      <c r="CU27" s="1148"/>
      <c r="CV27" s="1148"/>
      <c r="CW27" s="1148"/>
      <c r="CX27" s="1148"/>
      <c r="CY27" s="1148"/>
      <c r="CZ27" s="1148"/>
      <c r="DA27" s="1148"/>
      <c r="DB27" s="1148"/>
      <c r="DC27" s="1148"/>
      <c r="DD27" s="1148"/>
      <c r="DE27" s="1148"/>
      <c r="DF27" s="1148"/>
      <c r="DG27" s="1148"/>
      <c r="DH27" s="1148"/>
      <c r="DI27" s="1148"/>
      <c r="DJ27" s="1148"/>
      <c r="DK27" s="1148"/>
      <c r="DL27" s="1148"/>
      <c r="DM27" s="1148"/>
      <c r="DN27" s="1148"/>
      <c r="DO27" s="1148"/>
      <c r="DP27" s="1148"/>
      <c r="DQ27" s="1148"/>
      <c r="DR27" s="1148"/>
      <c r="DS27" s="1148"/>
      <c r="DT27" s="1148"/>
      <c r="DU27" s="1148"/>
      <c r="DV27" s="1148"/>
      <c r="DW27" s="1148"/>
      <c r="DX27" s="1148"/>
      <c r="DY27" s="1148"/>
      <c r="DZ27" s="1148"/>
      <c r="EA27" s="1148"/>
    </row>
    <row r="28" spans="1:131" s="1149" customFormat="1" ht="35.1" customHeight="1">
      <c r="A28" s="1568" t="s">
        <v>824</v>
      </c>
      <c r="B28" s="1220" t="s">
        <v>52</v>
      </c>
      <c r="C28" s="1571">
        <v>47</v>
      </c>
      <c r="D28" s="1221">
        <f t="shared" si="1"/>
        <v>51436.881188118808</v>
      </c>
      <c r="E28" s="1222">
        <v>0</v>
      </c>
      <c r="F28" s="1222">
        <v>0</v>
      </c>
      <c r="G28" s="1223"/>
      <c r="H28" s="1223">
        <v>0.80800000000000005</v>
      </c>
      <c r="I28" s="1224">
        <f>F28+G28+H28</f>
        <v>0.80800000000000005</v>
      </c>
      <c r="J28" s="1225"/>
      <c r="K28" s="1226">
        <v>0</v>
      </c>
      <c r="L28" s="1226">
        <v>0</v>
      </c>
      <c r="M28" s="1227">
        <f>J28+K28+L28</f>
        <v>0</v>
      </c>
      <c r="N28" s="1225">
        <f>89771.76+194505.44+149619.63+64835.17</f>
        <v>498732</v>
      </c>
      <c r="O28" s="1226">
        <v>0</v>
      </c>
      <c r="P28" s="1226">
        <v>0</v>
      </c>
      <c r="Q28" s="1227">
        <f>N28+O28+P28</f>
        <v>498732</v>
      </c>
      <c r="R28" s="1225">
        <f>J28+N28</f>
        <v>498732</v>
      </c>
      <c r="S28" s="1226">
        <f t="shared" ref="S28:T30" si="41">K28+O28</f>
        <v>0</v>
      </c>
      <c r="T28" s="1226">
        <f t="shared" si="41"/>
        <v>0</v>
      </c>
      <c r="U28" s="1227">
        <f>R28+S28+T28</f>
        <v>498732</v>
      </c>
      <c r="V28" s="1148"/>
      <c r="W28" s="1150"/>
      <c r="X28" s="1148"/>
      <c r="Y28" s="1148"/>
      <c r="Z28" s="1148"/>
      <c r="AA28" s="1148"/>
      <c r="AB28" s="1148"/>
      <c r="AC28" s="1148"/>
      <c r="AD28" s="1148"/>
      <c r="AE28" s="1148"/>
      <c r="AF28" s="1148"/>
      <c r="AG28" s="1148"/>
      <c r="AH28" s="1148"/>
      <c r="AI28" s="1148"/>
      <c r="AJ28" s="1148"/>
      <c r="AK28" s="1148"/>
      <c r="AL28" s="1148"/>
      <c r="AM28" s="1148"/>
      <c r="AN28" s="1148"/>
      <c r="AO28" s="1148"/>
      <c r="AP28" s="1148"/>
      <c r="AQ28" s="1148"/>
      <c r="AR28" s="1148"/>
      <c r="AS28" s="1148"/>
      <c r="AT28" s="1148"/>
      <c r="AU28" s="1148"/>
      <c r="AV28" s="1148"/>
      <c r="AW28" s="1148"/>
      <c r="AX28" s="1148"/>
      <c r="AY28" s="1148"/>
      <c r="AZ28" s="1148"/>
      <c r="BA28" s="1148"/>
      <c r="BB28" s="1148"/>
      <c r="BC28" s="1148"/>
      <c r="BD28" s="1148"/>
      <c r="BE28" s="1148"/>
      <c r="BF28" s="1148"/>
      <c r="BG28" s="1148"/>
      <c r="BH28" s="1148"/>
      <c r="BI28" s="1148"/>
      <c r="BJ28" s="1148"/>
      <c r="BK28" s="1148"/>
      <c r="BL28" s="1148"/>
      <c r="BM28" s="1148"/>
      <c r="BN28" s="1148"/>
      <c r="BO28" s="1148"/>
      <c r="BP28" s="1148"/>
      <c r="BQ28" s="1148"/>
      <c r="BR28" s="1148"/>
      <c r="BS28" s="1148"/>
      <c r="BT28" s="1148"/>
      <c r="BU28" s="1148"/>
      <c r="BV28" s="1148"/>
      <c r="BW28" s="1148"/>
      <c r="BX28" s="1148"/>
      <c r="BY28" s="1148"/>
      <c r="BZ28" s="1148"/>
      <c r="CA28" s="1148"/>
      <c r="CB28" s="1148"/>
      <c r="CC28" s="1148"/>
      <c r="CD28" s="1148"/>
      <c r="CE28" s="1148"/>
      <c r="CF28" s="1148"/>
      <c r="CG28" s="1148"/>
      <c r="CH28" s="1148"/>
      <c r="CI28" s="1148"/>
      <c r="CJ28" s="1148"/>
      <c r="CK28" s="1148"/>
      <c r="CL28" s="1148"/>
      <c r="CM28" s="1148"/>
      <c r="CN28" s="1148"/>
      <c r="CO28" s="1148"/>
      <c r="CP28" s="1148"/>
      <c r="CQ28" s="1148"/>
      <c r="CR28" s="1148"/>
      <c r="CS28" s="1148"/>
      <c r="CT28" s="1148"/>
      <c r="CU28" s="1148"/>
      <c r="CV28" s="1148"/>
      <c r="CW28" s="1148"/>
      <c r="CX28" s="1148"/>
      <c r="CY28" s="1148"/>
      <c r="CZ28" s="1148"/>
      <c r="DA28" s="1148"/>
      <c r="DB28" s="1148"/>
      <c r="DC28" s="1148"/>
      <c r="DD28" s="1148"/>
      <c r="DE28" s="1148"/>
      <c r="DF28" s="1148"/>
      <c r="DG28" s="1148"/>
      <c r="DH28" s="1148"/>
      <c r="DI28" s="1148"/>
      <c r="DJ28" s="1148"/>
      <c r="DK28" s="1148"/>
      <c r="DL28" s="1148"/>
      <c r="DM28" s="1148"/>
      <c r="DN28" s="1148"/>
      <c r="DO28" s="1148"/>
      <c r="DP28" s="1148"/>
      <c r="DQ28" s="1148"/>
      <c r="DR28" s="1148"/>
      <c r="DS28" s="1148"/>
      <c r="DT28" s="1148"/>
      <c r="DU28" s="1148"/>
      <c r="DV28" s="1148"/>
      <c r="DW28" s="1148"/>
      <c r="DX28" s="1148"/>
      <c r="DY28" s="1148"/>
      <c r="DZ28" s="1148"/>
      <c r="EA28" s="1148"/>
    </row>
    <row r="29" spans="1:131" s="1149" customFormat="1" ht="35.1" customHeight="1">
      <c r="A29" s="1569"/>
      <c r="B29" s="1228" t="s">
        <v>800</v>
      </c>
      <c r="C29" s="1572"/>
      <c r="D29" s="1229">
        <f t="shared" si="1"/>
        <v>33897.339018812003</v>
      </c>
      <c r="E29" s="1230">
        <v>0</v>
      </c>
      <c r="F29" s="1230">
        <v>0.217</v>
      </c>
      <c r="G29" s="1231"/>
      <c r="H29" s="1231">
        <f>9.131+1</f>
        <v>10.131</v>
      </c>
      <c r="I29" s="1232">
        <f t="shared" ref="I29:I31" si="42">F29+G29+H29</f>
        <v>10.348000000000001</v>
      </c>
      <c r="J29" s="1233">
        <f>94835.73+71696.77</f>
        <v>166532.5</v>
      </c>
      <c r="K29" s="1234">
        <v>0</v>
      </c>
      <c r="L29" s="1234">
        <v>0</v>
      </c>
      <c r="M29" s="1235">
        <f t="shared" ref="M29:M31" si="43">J29+K29+L29</f>
        <v>166532.5</v>
      </c>
      <c r="N29" s="1233">
        <f>922266.02+1381811.4+1062931.94+460603.88+215090.23</f>
        <v>4042703.4699999997</v>
      </c>
      <c r="O29" s="1234">
        <v>0</v>
      </c>
      <c r="P29" s="1234">
        <v>0</v>
      </c>
      <c r="Q29" s="1235">
        <f t="shared" ref="Q29:Q31" si="44">N29+O29+P29</f>
        <v>4042703.4699999997</v>
      </c>
      <c r="R29" s="1233">
        <f t="shared" ref="R29:R30" si="45">J29+N29</f>
        <v>4209235.97</v>
      </c>
      <c r="S29" s="1234">
        <f t="shared" si="41"/>
        <v>0</v>
      </c>
      <c r="T29" s="1234">
        <f t="shared" si="41"/>
        <v>0</v>
      </c>
      <c r="U29" s="1235">
        <f t="shared" ref="U29:U31" si="46">R29+S29+T29</f>
        <v>4209235.97</v>
      </c>
      <c r="V29" s="1148"/>
      <c r="W29" s="1150"/>
      <c r="X29" s="1148"/>
      <c r="Y29" s="1148"/>
      <c r="Z29" s="1148"/>
      <c r="AA29" s="1148"/>
      <c r="AB29" s="1148"/>
      <c r="AC29" s="1148"/>
      <c r="AD29" s="1148"/>
      <c r="AE29" s="1148"/>
      <c r="AF29" s="1148"/>
      <c r="AG29" s="1148"/>
      <c r="AH29" s="1148"/>
      <c r="AI29" s="1148"/>
      <c r="AJ29" s="1148"/>
      <c r="AK29" s="1148"/>
      <c r="AL29" s="1148"/>
      <c r="AM29" s="1148"/>
      <c r="AN29" s="1148"/>
      <c r="AO29" s="1148"/>
      <c r="AP29" s="1148"/>
      <c r="AQ29" s="1148"/>
      <c r="AR29" s="1148"/>
      <c r="AS29" s="1148"/>
      <c r="AT29" s="1148"/>
      <c r="AU29" s="1148"/>
      <c r="AV29" s="1148"/>
      <c r="AW29" s="1148"/>
      <c r="AX29" s="1148"/>
      <c r="AY29" s="1148"/>
      <c r="AZ29" s="1148"/>
      <c r="BA29" s="1148"/>
      <c r="BB29" s="1148"/>
      <c r="BC29" s="1148"/>
      <c r="BD29" s="1148"/>
      <c r="BE29" s="1148"/>
      <c r="BF29" s="1148"/>
      <c r="BG29" s="1148"/>
      <c r="BH29" s="1148"/>
      <c r="BI29" s="1148"/>
      <c r="BJ29" s="1148"/>
      <c r="BK29" s="1148"/>
      <c r="BL29" s="1148"/>
      <c r="BM29" s="1148"/>
      <c r="BN29" s="1148"/>
      <c r="BO29" s="1148"/>
      <c r="BP29" s="1148"/>
      <c r="BQ29" s="1148"/>
      <c r="BR29" s="1148"/>
      <c r="BS29" s="1148"/>
      <c r="BT29" s="1148"/>
      <c r="BU29" s="1148"/>
      <c r="BV29" s="1148"/>
      <c r="BW29" s="1148"/>
      <c r="BX29" s="1148"/>
      <c r="BY29" s="1148"/>
      <c r="BZ29" s="1148"/>
      <c r="CA29" s="1148"/>
      <c r="CB29" s="1148"/>
      <c r="CC29" s="1148"/>
      <c r="CD29" s="1148"/>
      <c r="CE29" s="1148"/>
      <c r="CF29" s="1148"/>
      <c r="CG29" s="1148"/>
      <c r="CH29" s="1148"/>
      <c r="CI29" s="1148"/>
      <c r="CJ29" s="1148"/>
      <c r="CK29" s="1148"/>
      <c r="CL29" s="1148"/>
      <c r="CM29" s="1148"/>
      <c r="CN29" s="1148"/>
      <c r="CO29" s="1148"/>
      <c r="CP29" s="1148"/>
      <c r="CQ29" s="1148"/>
      <c r="CR29" s="1148"/>
      <c r="CS29" s="1148"/>
      <c r="CT29" s="1148"/>
      <c r="CU29" s="1148"/>
      <c r="CV29" s="1148"/>
      <c r="CW29" s="1148"/>
      <c r="CX29" s="1148"/>
      <c r="CY29" s="1148"/>
      <c r="CZ29" s="1148"/>
      <c r="DA29" s="1148"/>
      <c r="DB29" s="1148"/>
      <c r="DC29" s="1148"/>
      <c r="DD29" s="1148"/>
      <c r="DE29" s="1148"/>
      <c r="DF29" s="1148"/>
      <c r="DG29" s="1148"/>
      <c r="DH29" s="1148"/>
      <c r="DI29" s="1148"/>
      <c r="DJ29" s="1148"/>
      <c r="DK29" s="1148"/>
      <c r="DL29" s="1148"/>
      <c r="DM29" s="1148"/>
      <c r="DN29" s="1148"/>
      <c r="DO29" s="1148"/>
      <c r="DP29" s="1148"/>
      <c r="DQ29" s="1148"/>
      <c r="DR29" s="1148"/>
      <c r="DS29" s="1148"/>
      <c r="DT29" s="1148"/>
      <c r="DU29" s="1148"/>
      <c r="DV29" s="1148"/>
      <c r="DW29" s="1148"/>
      <c r="DX29" s="1148"/>
      <c r="DY29" s="1148"/>
      <c r="DZ29" s="1148"/>
      <c r="EA29" s="1148"/>
    </row>
    <row r="30" spans="1:131" s="1149" customFormat="1" ht="35.1" customHeight="1">
      <c r="A30" s="1569"/>
      <c r="B30" s="1228" t="s">
        <v>801</v>
      </c>
      <c r="C30" s="1572"/>
      <c r="D30" s="1229"/>
      <c r="E30" s="1230">
        <v>0</v>
      </c>
      <c r="F30" s="1230"/>
      <c r="G30" s="1231"/>
      <c r="H30" s="1231"/>
      <c r="I30" s="1232">
        <f t="shared" si="42"/>
        <v>0</v>
      </c>
      <c r="J30" s="1233">
        <v>0</v>
      </c>
      <c r="K30" s="1234">
        <v>0</v>
      </c>
      <c r="L30" s="1234">
        <v>22440</v>
      </c>
      <c r="M30" s="1235">
        <f t="shared" si="43"/>
        <v>22440</v>
      </c>
      <c r="N30" s="1233">
        <v>0</v>
      </c>
      <c r="O30" s="1234">
        <v>0</v>
      </c>
      <c r="P30" s="1234">
        <v>22440</v>
      </c>
      <c r="Q30" s="1235">
        <f t="shared" si="44"/>
        <v>22440</v>
      </c>
      <c r="R30" s="1233">
        <f t="shared" si="45"/>
        <v>0</v>
      </c>
      <c r="S30" s="1234">
        <f t="shared" si="41"/>
        <v>0</v>
      </c>
      <c r="T30" s="1234">
        <f t="shared" si="41"/>
        <v>44880</v>
      </c>
      <c r="U30" s="1235">
        <f t="shared" si="46"/>
        <v>44880</v>
      </c>
      <c r="V30" s="1148"/>
      <c r="W30" s="1150"/>
      <c r="X30" s="1148"/>
      <c r="Y30" s="1148"/>
      <c r="Z30" s="1148"/>
      <c r="AA30" s="1148"/>
      <c r="AB30" s="1148"/>
      <c r="AC30" s="1148"/>
      <c r="AD30" s="1148"/>
      <c r="AE30" s="1148"/>
      <c r="AF30" s="1148"/>
      <c r="AG30" s="1148"/>
      <c r="AH30" s="1148"/>
      <c r="AI30" s="1148"/>
      <c r="AJ30" s="1148"/>
      <c r="AK30" s="1148"/>
      <c r="AL30" s="1148"/>
      <c r="AM30" s="1148"/>
      <c r="AN30" s="1148"/>
      <c r="AO30" s="1148"/>
      <c r="AP30" s="1148"/>
      <c r="AQ30" s="1148"/>
      <c r="AR30" s="1148"/>
      <c r="AS30" s="1148"/>
      <c r="AT30" s="1148"/>
      <c r="AU30" s="1148"/>
      <c r="AV30" s="1148"/>
      <c r="AW30" s="1148"/>
      <c r="AX30" s="1148"/>
      <c r="AY30" s="1148"/>
      <c r="AZ30" s="1148"/>
      <c r="BA30" s="1148"/>
      <c r="BB30" s="1148"/>
      <c r="BC30" s="1148"/>
      <c r="BD30" s="1148"/>
      <c r="BE30" s="1148"/>
      <c r="BF30" s="1148"/>
      <c r="BG30" s="1148"/>
      <c r="BH30" s="1148"/>
      <c r="BI30" s="1148"/>
      <c r="BJ30" s="1148"/>
      <c r="BK30" s="1148"/>
      <c r="BL30" s="1148"/>
      <c r="BM30" s="1148"/>
      <c r="BN30" s="1148"/>
      <c r="BO30" s="1148"/>
      <c r="BP30" s="1148"/>
      <c r="BQ30" s="1148"/>
      <c r="BR30" s="1148"/>
      <c r="BS30" s="1148"/>
      <c r="BT30" s="1148"/>
      <c r="BU30" s="1148"/>
      <c r="BV30" s="1148"/>
      <c r="BW30" s="1148"/>
      <c r="BX30" s="1148"/>
      <c r="BY30" s="1148"/>
      <c r="BZ30" s="1148"/>
      <c r="CA30" s="1148"/>
      <c r="CB30" s="1148"/>
      <c r="CC30" s="1148"/>
      <c r="CD30" s="1148"/>
      <c r="CE30" s="1148"/>
      <c r="CF30" s="1148"/>
      <c r="CG30" s="1148"/>
      <c r="CH30" s="1148"/>
      <c r="CI30" s="1148"/>
      <c r="CJ30" s="1148"/>
      <c r="CK30" s="1148"/>
      <c r="CL30" s="1148"/>
      <c r="CM30" s="1148"/>
      <c r="CN30" s="1148"/>
      <c r="CO30" s="1148"/>
      <c r="CP30" s="1148"/>
      <c r="CQ30" s="1148"/>
      <c r="CR30" s="1148"/>
      <c r="CS30" s="1148"/>
      <c r="CT30" s="1148"/>
      <c r="CU30" s="1148"/>
      <c r="CV30" s="1148"/>
      <c r="CW30" s="1148"/>
      <c r="CX30" s="1148"/>
      <c r="CY30" s="1148"/>
      <c r="CZ30" s="1148"/>
      <c r="DA30" s="1148"/>
      <c r="DB30" s="1148"/>
      <c r="DC30" s="1148"/>
      <c r="DD30" s="1148"/>
      <c r="DE30" s="1148"/>
      <c r="DF30" s="1148"/>
      <c r="DG30" s="1148"/>
      <c r="DH30" s="1148"/>
      <c r="DI30" s="1148"/>
      <c r="DJ30" s="1148"/>
      <c r="DK30" s="1148"/>
      <c r="DL30" s="1148"/>
      <c r="DM30" s="1148"/>
      <c r="DN30" s="1148"/>
      <c r="DO30" s="1148"/>
      <c r="DP30" s="1148"/>
      <c r="DQ30" s="1148"/>
      <c r="DR30" s="1148"/>
      <c r="DS30" s="1148"/>
      <c r="DT30" s="1148"/>
      <c r="DU30" s="1148"/>
      <c r="DV30" s="1148"/>
      <c r="DW30" s="1148"/>
      <c r="DX30" s="1148"/>
      <c r="DY30" s="1148"/>
      <c r="DZ30" s="1148"/>
      <c r="EA30" s="1148"/>
    </row>
    <row r="31" spans="1:131" s="1149" customFormat="1" ht="35.1" customHeight="1" thickBot="1">
      <c r="A31" s="1570"/>
      <c r="B31" s="1236" t="s">
        <v>802</v>
      </c>
      <c r="C31" s="1573"/>
      <c r="D31" s="1237">
        <f t="shared" si="1"/>
        <v>35167.68233835305</v>
      </c>
      <c r="E31" s="1238">
        <v>0</v>
      </c>
      <c r="F31" s="1238">
        <f>F28+F29+F30</f>
        <v>0.217</v>
      </c>
      <c r="G31" s="1239">
        <f t="shared" ref="G31:H31" si="47">G28+G29+G30</f>
        <v>0</v>
      </c>
      <c r="H31" s="1239">
        <f t="shared" si="47"/>
        <v>10.939</v>
      </c>
      <c r="I31" s="1240">
        <f t="shared" si="42"/>
        <v>11.156000000000001</v>
      </c>
      <c r="J31" s="1241">
        <f>J28+J29+J30</f>
        <v>166532.5</v>
      </c>
      <c r="K31" s="1242">
        <f t="shared" ref="K31:L31" si="48">K28+K29+K30</f>
        <v>0</v>
      </c>
      <c r="L31" s="1242">
        <f t="shared" si="48"/>
        <v>22440</v>
      </c>
      <c r="M31" s="1243">
        <f t="shared" si="43"/>
        <v>188972.5</v>
      </c>
      <c r="N31" s="1241">
        <f>N28+N29+N30</f>
        <v>4541435.47</v>
      </c>
      <c r="O31" s="1242">
        <f t="shared" ref="O31:P31" si="49">O28+O29+O30</f>
        <v>0</v>
      </c>
      <c r="P31" s="1242">
        <f t="shared" si="49"/>
        <v>22440</v>
      </c>
      <c r="Q31" s="1243">
        <f t="shared" si="44"/>
        <v>4563875.47</v>
      </c>
      <c r="R31" s="1241">
        <f>R28+R29+R30</f>
        <v>4707967.97</v>
      </c>
      <c r="S31" s="1242">
        <f t="shared" ref="S31:T31" si="50">S28+S29+S30</f>
        <v>0</v>
      </c>
      <c r="T31" s="1242">
        <f t="shared" si="50"/>
        <v>44880</v>
      </c>
      <c r="U31" s="1243">
        <f t="shared" si="46"/>
        <v>4752847.97</v>
      </c>
      <c r="V31" s="1150"/>
      <c r="W31" s="1150"/>
      <c r="X31" s="1148"/>
      <c r="Y31" s="1148"/>
      <c r="Z31" s="1148"/>
      <c r="AA31" s="1148"/>
      <c r="AB31" s="1148"/>
      <c r="AC31" s="1148"/>
      <c r="AD31" s="1148"/>
      <c r="AE31" s="1148"/>
      <c r="AF31" s="1148"/>
      <c r="AG31" s="1148"/>
      <c r="AH31" s="1148"/>
      <c r="AI31" s="1148"/>
      <c r="AJ31" s="1148"/>
      <c r="AK31" s="1148"/>
      <c r="AL31" s="1148"/>
      <c r="AM31" s="1148"/>
      <c r="AN31" s="1148"/>
      <c r="AO31" s="1148"/>
      <c r="AP31" s="1148"/>
      <c r="AQ31" s="1148"/>
      <c r="AR31" s="1148"/>
      <c r="AS31" s="1148"/>
      <c r="AT31" s="1148"/>
      <c r="AU31" s="1148"/>
      <c r="AV31" s="1148"/>
      <c r="AW31" s="1148"/>
      <c r="AX31" s="1148"/>
      <c r="AY31" s="1148"/>
      <c r="AZ31" s="1148"/>
      <c r="BA31" s="1148"/>
      <c r="BB31" s="1148"/>
      <c r="BC31" s="1148"/>
      <c r="BD31" s="1148"/>
      <c r="BE31" s="1148"/>
      <c r="BF31" s="1148"/>
      <c r="BG31" s="1148"/>
      <c r="BH31" s="1148"/>
      <c r="BI31" s="1148"/>
      <c r="BJ31" s="1148"/>
      <c r="BK31" s="1148"/>
      <c r="BL31" s="1148"/>
      <c r="BM31" s="1148"/>
      <c r="BN31" s="1148"/>
      <c r="BO31" s="1148"/>
      <c r="BP31" s="1148"/>
      <c r="BQ31" s="1148"/>
      <c r="BR31" s="1148"/>
      <c r="BS31" s="1148"/>
      <c r="BT31" s="1148"/>
      <c r="BU31" s="1148"/>
      <c r="BV31" s="1148"/>
      <c r="BW31" s="1148"/>
      <c r="BX31" s="1148"/>
      <c r="BY31" s="1148"/>
      <c r="BZ31" s="1148"/>
      <c r="CA31" s="1148"/>
      <c r="CB31" s="1148"/>
      <c r="CC31" s="1148"/>
      <c r="CD31" s="1148"/>
      <c r="CE31" s="1148"/>
      <c r="CF31" s="1148"/>
      <c r="CG31" s="1148"/>
      <c r="CH31" s="1148"/>
      <c r="CI31" s="1148"/>
      <c r="CJ31" s="1148"/>
      <c r="CK31" s="1148"/>
      <c r="CL31" s="1148"/>
      <c r="CM31" s="1148"/>
      <c r="CN31" s="1148"/>
      <c r="CO31" s="1148"/>
      <c r="CP31" s="1148"/>
      <c r="CQ31" s="1148"/>
      <c r="CR31" s="1148"/>
      <c r="CS31" s="1148"/>
      <c r="CT31" s="1148"/>
      <c r="CU31" s="1148"/>
      <c r="CV31" s="1148"/>
      <c r="CW31" s="1148"/>
      <c r="CX31" s="1148"/>
      <c r="CY31" s="1148"/>
      <c r="CZ31" s="1148"/>
      <c r="DA31" s="1148"/>
      <c r="DB31" s="1148"/>
      <c r="DC31" s="1148"/>
      <c r="DD31" s="1148"/>
      <c r="DE31" s="1148"/>
      <c r="DF31" s="1148"/>
      <c r="DG31" s="1148"/>
      <c r="DH31" s="1148"/>
      <c r="DI31" s="1148"/>
      <c r="DJ31" s="1148"/>
      <c r="DK31" s="1148"/>
      <c r="DL31" s="1148"/>
      <c r="DM31" s="1148"/>
      <c r="DN31" s="1148"/>
      <c r="DO31" s="1148"/>
      <c r="DP31" s="1148"/>
      <c r="DQ31" s="1148"/>
      <c r="DR31" s="1148"/>
      <c r="DS31" s="1148"/>
      <c r="DT31" s="1148"/>
      <c r="DU31" s="1148"/>
      <c r="DV31" s="1148"/>
      <c r="DW31" s="1148"/>
      <c r="DX31" s="1148"/>
      <c r="DY31" s="1148"/>
      <c r="DZ31" s="1148"/>
      <c r="EA31" s="1148"/>
    </row>
    <row r="32" spans="1:131" s="1149" customFormat="1" ht="35.1" customHeight="1">
      <c r="A32" s="1568" t="s">
        <v>824</v>
      </c>
      <c r="B32" s="1220" t="s">
        <v>52</v>
      </c>
      <c r="C32" s="1571">
        <v>12002</v>
      </c>
      <c r="D32" s="1221">
        <f t="shared" si="1"/>
        <v>102318.25808249721</v>
      </c>
      <c r="E32" s="1222">
        <v>0</v>
      </c>
      <c r="F32" s="1222"/>
      <c r="G32" s="1223"/>
      <c r="H32" s="1223">
        <v>0.59799999999999998</v>
      </c>
      <c r="I32" s="1224">
        <f>F32+G32+H32</f>
        <v>0.59799999999999998</v>
      </c>
      <c r="J32" s="1225"/>
      <c r="K32" s="1226">
        <v>0</v>
      </c>
      <c r="L32" s="1226">
        <v>0</v>
      </c>
      <c r="M32" s="1227">
        <f>J32+K32+L32</f>
        <v>0</v>
      </c>
      <c r="N32" s="1225">
        <v>734235.82</v>
      </c>
      <c r="O32" s="1226">
        <v>0</v>
      </c>
      <c r="P32" s="1226">
        <v>0</v>
      </c>
      <c r="Q32" s="1227">
        <f>N32+O32+P32</f>
        <v>734235.82</v>
      </c>
      <c r="R32" s="1225">
        <f>J32+N32</f>
        <v>734235.82</v>
      </c>
      <c r="S32" s="1226">
        <f t="shared" ref="S32:T34" si="51">K32+O32</f>
        <v>0</v>
      </c>
      <c r="T32" s="1226">
        <f t="shared" si="51"/>
        <v>0</v>
      </c>
      <c r="U32" s="1227">
        <f>R32+S32+T32</f>
        <v>734235.82</v>
      </c>
      <c r="V32" s="1150"/>
      <c r="W32" s="1150"/>
      <c r="X32" s="1148"/>
      <c r="Y32" s="1148"/>
      <c r="Z32" s="1148"/>
      <c r="AA32" s="1148"/>
      <c r="AB32" s="1148"/>
      <c r="AC32" s="1148"/>
      <c r="AD32" s="1148"/>
      <c r="AE32" s="1148"/>
      <c r="AF32" s="1148"/>
      <c r="AG32" s="1148"/>
      <c r="AH32" s="1148"/>
      <c r="AI32" s="1148"/>
      <c r="AJ32" s="1148"/>
      <c r="AK32" s="1148"/>
      <c r="AL32" s="1148"/>
      <c r="AM32" s="1148"/>
      <c r="AN32" s="1148"/>
      <c r="AO32" s="1148"/>
      <c r="AP32" s="1148"/>
      <c r="AQ32" s="1148"/>
      <c r="AR32" s="1148"/>
      <c r="AS32" s="1148"/>
      <c r="AT32" s="1148"/>
      <c r="AU32" s="1148"/>
      <c r="AV32" s="1148"/>
      <c r="AW32" s="1148"/>
      <c r="AX32" s="1148"/>
      <c r="AY32" s="1148"/>
      <c r="AZ32" s="1148"/>
      <c r="BA32" s="1148"/>
      <c r="BB32" s="1148"/>
      <c r="BC32" s="1148"/>
      <c r="BD32" s="1148"/>
      <c r="BE32" s="1148"/>
      <c r="BF32" s="1148"/>
      <c r="BG32" s="1148"/>
      <c r="BH32" s="1148"/>
      <c r="BI32" s="1148"/>
      <c r="BJ32" s="1148"/>
      <c r="BK32" s="1148"/>
      <c r="BL32" s="1148"/>
      <c r="BM32" s="1148"/>
      <c r="BN32" s="1148"/>
      <c r="BO32" s="1148"/>
      <c r="BP32" s="1148"/>
      <c r="BQ32" s="1148"/>
      <c r="BR32" s="1148"/>
      <c r="BS32" s="1148"/>
      <c r="BT32" s="1148"/>
      <c r="BU32" s="1148"/>
      <c r="BV32" s="1148"/>
      <c r="BW32" s="1148"/>
      <c r="BX32" s="1148"/>
      <c r="BY32" s="1148"/>
      <c r="BZ32" s="1148"/>
      <c r="CA32" s="1148"/>
      <c r="CB32" s="1148"/>
      <c r="CC32" s="1148"/>
      <c r="CD32" s="1148"/>
      <c r="CE32" s="1148"/>
      <c r="CF32" s="1148"/>
      <c r="CG32" s="1148"/>
      <c r="CH32" s="1148"/>
      <c r="CI32" s="1148"/>
      <c r="CJ32" s="1148"/>
      <c r="CK32" s="1148"/>
      <c r="CL32" s="1148"/>
      <c r="CM32" s="1148"/>
      <c r="CN32" s="1148"/>
      <c r="CO32" s="1148"/>
      <c r="CP32" s="1148"/>
      <c r="CQ32" s="1148"/>
      <c r="CR32" s="1148"/>
      <c r="CS32" s="1148"/>
      <c r="CT32" s="1148"/>
      <c r="CU32" s="1148"/>
      <c r="CV32" s="1148"/>
      <c r="CW32" s="1148"/>
      <c r="CX32" s="1148"/>
      <c r="CY32" s="1148"/>
      <c r="CZ32" s="1148"/>
      <c r="DA32" s="1148"/>
      <c r="DB32" s="1148"/>
      <c r="DC32" s="1148"/>
      <c r="DD32" s="1148"/>
      <c r="DE32" s="1148"/>
      <c r="DF32" s="1148"/>
      <c r="DG32" s="1148"/>
      <c r="DH32" s="1148"/>
      <c r="DI32" s="1148"/>
      <c r="DJ32" s="1148"/>
      <c r="DK32" s="1148"/>
      <c r="DL32" s="1148"/>
      <c r="DM32" s="1148"/>
      <c r="DN32" s="1148"/>
      <c r="DO32" s="1148"/>
      <c r="DP32" s="1148"/>
      <c r="DQ32" s="1148"/>
      <c r="DR32" s="1148"/>
      <c r="DS32" s="1148"/>
      <c r="DT32" s="1148"/>
      <c r="DU32" s="1148"/>
      <c r="DV32" s="1148"/>
      <c r="DW32" s="1148"/>
      <c r="DX32" s="1148"/>
      <c r="DY32" s="1148"/>
      <c r="DZ32" s="1148"/>
      <c r="EA32" s="1148"/>
    </row>
    <row r="33" spans="1:131" s="1149" customFormat="1" ht="35.1" customHeight="1">
      <c r="A33" s="1569"/>
      <c r="B33" s="1228" t="s">
        <v>800</v>
      </c>
      <c r="C33" s="1572"/>
      <c r="D33" s="1229">
        <f t="shared" si="1"/>
        <v>133426.35057471265</v>
      </c>
      <c r="E33" s="1230">
        <v>0</v>
      </c>
      <c r="F33" s="1230"/>
      <c r="G33" s="1231"/>
      <c r="H33" s="1231">
        <v>8.6999999999999994E-2</v>
      </c>
      <c r="I33" s="1232">
        <f t="shared" ref="I33:I35" si="52">F33+G33+H33</f>
        <v>8.6999999999999994E-2</v>
      </c>
      <c r="J33" s="1233"/>
      <c r="K33" s="1234">
        <v>0</v>
      </c>
      <c r="L33" s="1234">
        <v>0</v>
      </c>
      <c r="M33" s="1235">
        <f t="shared" ref="M33:M35" si="53">J33+K33+L33</f>
        <v>0</v>
      </c>
      <c r="N33" s="1233">
        <v>139297.10999999999</v>
      </c>
      <c r="O33" s="1234">
        <v>0</v>
      </c>
      <c r="P33" s="1234">
        <v>0</v>
      </c>
      <c r="Q33" s="1235">
        <f t="shared" ref="Q33:Q35" si="54">N33+O33+P33</f>
        <v>139297.10999999999</v>
      </c>
      <c r="R33" s="1233">
        <f t="shared" ref="R33:R34" si="55">J33+N33</f>
        <v>139297.10999999999</v>
      </c>
      <c r="S33" s="1234">
        <f t="shared" si="51"/>
        <v>0</v>
      </c>
      <c r="T33" s="1234">
        <f t="shared" si="51"/>
        <v>0</v>
      </c>
      <c r="U33" s="1235">
        <f t="shared" ref="U33:U35" si="56">R33+S33+T33</f>
        <v>139297.10999999999</v>
      </c>
      <c r="V33" s="1150"/>
      <c r="W33" s="1150"/>
      <c r="X33" s="1148"/>
      <c r="Y33" s="1148"/>
      <c r="Z33" s="1148"/>
      <c r="AA33" s="1148"/>
      <c r="AB33" s="1148"/>
      <c r="AC33" s="1148"/>
      <c r="AD33" s="1148"/>
      <c r="AE33" s="1148"/>
      <c r="AF33" s="1148"/>
      <c r="AG33" s="1148"/>
      <c r="AH33" s="1148"/>
      <c r="AI33" s="1148"/>
      <c r="AJ33" s="1148"/>
      <c r="AK33" s="1148"/>
      <c r="AL33" s="1148"/>
      <c r="AM33" s="1148"/>
      <c r="AN33" s="1148"/>
      <c r="AO33" s="1148"/>
      <c r="AP33" s="1148"/>
      <c r="AQ33" s="1148"/>
      <c r="AR33" s="1148"/>
      <c r="AS33" s="1148"/>
      <c r="AT33" s="1148"/>
      <c r="AU33" s="1148"/>
      <c r="AV33" s="1148"/>
      <c r="AW33" s="1148"/>
      <c r="AX33" s="1148"/>
      <c r="AY33" s="1148"/>
      <c r="AZ33" s="1148"/>
      <c r="BA33" s="1148"/>
      <c r="BB33" s="1148"/>
      <c r="BC33" s="1148"/>
      <c r="BD33" s="1148"/>
      <c r="BE33" s="1148"/>
      <c r="BF33" s="1148"/>
      <c r="BG33" s="1148"/>
      <c r="BH33" s="1148"/>
      <c r="BI33" s="1148"/>
      <c r="BJ33" s="1148"/>
      <c r="BK33" s="1148"/>
      <c r="BL33" s="1148"/>
      <c r="BM33" s="1148"/>
      <c r="BN33" s="1148"/>
      <c r="BO33" s="1148"/>
      <c r="BP33" s="1148"/>
      <c r="BQ33" s="1148"/>
      <c r="BR33" s="1148"/>
      <c r="BS33" s="1148"/>
      <c r="BT33" s="1148"/>
      <c r="BU33" s="1148"/>
      <c r="BV33" s="1148"/>
      <c r="BW33" s="1148"/>
      <c r="BX33" s="1148"/>
      <c r="BY33" s="1148"/>
      <c r="BZ33" s="1148"/>
      <c r="CA33" s="1148"/>
      <c r="CB33" s="1148"/>
      <c r="CC33" s="1148"/>
      <c r="CD33" s="1148"/>
      <c r="CE33" s="1148"/>
      <c r="CF33" s="1148"/>
      <c r="CG33" s="1148"/>
      <c r="CH33" s="1148"/>
      <c r="CI33" s="1148"/>
      <c r="CJ33" s="1148"/>
      <c r="CK33" s="1148"/>
      <c r="CL33" s="1148"/>
      <c r="CM33" s="1148"/>
      <c r="CN33" s="1148"/>
      <c r="CO33" s="1148"/>
      <c r="CP33" s="1148"/>
      <c r="CQ33" s="1148"/>
      <c r="CR33" s="1148"/>
      <c r="CS33" s="1148"/>
      <c r="CT33" s="1148"/>
      <c r="CU33" s="1148"/>
      <c r="CV33" s="1148"/>
      <c r="CW33" s="1148"/>
      <c r="CX33" s="1148"/>
      <c r="CY33" s="1148"/>
      <c r="CZ33" s="1148"/>
      <c r="DA33" s="1148"/>
      <c r="DB33" s="1148"/>
      <c r="DC33" s="1148"/>
      <c r="DD33" s="1148"/>
      <c r="DE33" s="1148"/>
      <c r="DF33" s="1148"/>
      <c r="DG33" s="1148"/>
      <c r="DH33" s="1148"/>
      <c r="DI33" s="1148"/>
      <c r="DJ33" s="1148"/>
      <c r="DK33" s="1148"/>
      <c r="DL33" s="1148"/>
      <c r="DM33" s="1148"/>
      <c r="DN33" s="1148"/>
      <c r="DO33" s="1148"/>
      <c r="DP33" s="1148"/>
      <c r="DQ33" s="1148"/>
      <c r="DR33" s="1148"/>
      <c r="DS33" s="1148"/>
      <c r="DT33" s="1148"/>
      <c r="DU33" s="1148"/>
      <c r="DV33" s="1148"/>
      <c r="DW33" s="1148"/>
      <c r="DX33" s="1148"/>
      <c r="DY33" s="1148"/>
      <c r="DZ33" s="1148"/>
      <c r="EA33" s="1148"/>
    </row>
    <row r="34" spans="1:131" s="1149" customFormat="1" ht="35.1" customHeight="1">
      <c r="A34" s="1569"/>
      <c r="B34" s="1228" t="s">
        <v>801</v>
      </c>
      <c r="C34" s="1572"/>
      <c r="D34" s="1229"/>
      <c r="E34" s="1230">
        <v>0</v>
      </c>
      <c r="F34" s="1230"/>
      <c r="G34" s="1231"/>
      <c r="H34" s="1231"/>
      <c r="I34" s="1232">
        <f t="shared" si="52"/>
        <v>0</v>
      </c>
      <c r="J34" s="1233">
        <v>0</v>
      </c>
      <c r="K34" s="1234">
        <v>0</v>
      </c>
      <c r="L34" s="1234"/>
      <c r="M34" s="1235">
        <f t="shared" si="53"/>
        <v>0</v>
      </c>
      <c r="N34" s="1233">
        <v>0</v>
      </c>
      <c r="O34" s="1234">
        <v>0</v>
      </c>
      <c r="P34" s="1234">
        <v>0</v>
      </c>
      <c r="Q34" s="1235">
        <f t="shared" si="54"/>
        <v>0</v>
      </c>
      <c r="R34" s="1233">
        <f t="shared" si="55"/>
        <v>0</v>
      </c>
      <c r="S34" s="1234">
        <f t="shared" si="51"/>
        <v>0</v>
      </c>
      <c r="T34" s="1234">
        <f t="shared" si="51"/>
        <v>0</v>
      </c>
      <c r="U34" s="1235">
        <f t="shared" si="56"/>
        <v>0</v>
      </c>
      <c r="V34" s="1150"/>
      <c r="W34" s="1150"/>
      <c r="X34" s="1148"/>
      <c r="Y34" s="1148"/>
      <c r="Z34" s="1148"/>
      <c r="AA34" s="1148"/>
      <c r="AB34" s="1148"/>
      <c r="AC34" s="1148"/>
      <c r="AD34" s="1148"/>
      <c r="AE34" s="1148"/>
      <c r="AF34" s="1148"/>
      <c r="AG34" s="1148"/>
      <c r="AH34" s="1148"/>
      <c r="AI34" s="1148"/>
      <c r="AJ34" s="1148"/>
      <c r="AK34" s="1148"/>
      <c r="AL34" s="1148"/>
      <c r="AM34" s="1148"/>
      <c r="AN34" s="1148"/>
      <c r="AO34" s="1148"/>
      <c r="AP34" s="1148"/>
      <c r="AQ34" s="1148"/>
      <c r="AR34" s="1148"/>
      <c r="AS34" s="1148"/>
      <c r="AT34" s="1148"/>
      <c r="AU34" s="1148"/>
      <c r="AV34" s="1148"/>
      <c r="AW34" s="1148"/>
      <c r="AX34" s="1148"/>
      <c r="AY34" s="1148"/>
      <c r="AZ34" s="1148"/>
      <c r="BA34" s="1148"/>
      <c r="BB34" s="1148"/>
      <c r="BC34" s="1148"/>
      <c r="BD34" s="1148"/>
      <c r="BE34" s="1148"/>
      <c r="BF34" s="1148"/>
      <c r="BG34" s="1148"/>
      <c r="BH34" s="1148"/>
      <c r="BI34" s="1148"/>
      <c r="BJ34" s="1148"/>
      <c r="BK34" s="1148"/>
      <c r="BL34" s="1148"/>
      <c r="BM34" s="1148"/>
      <c r="BN34" s="1148"/>
      <c r="BO34" s="1148"/>
      <c r="BP34" s="1148"/>
      <c r="BQ34" s="1148"/>
      <c r="BR34" s="1148"/>
      <c r="BS34" s="1148"/>
      <c r="BT34" s="1148"/>
      <c r="BU34" s="1148"/>
      <c r="BV34" s="1148"/>
      <c r="BW34" s="1148"/>
      <c r="BX34" s="1148"/>
      <c r="BY34" s="1148"/>
      <c r="BZ34" s="1148"/>
      <c r="CA34" s="1148"/>
      <c r="CB34" s="1148"/>
      <c r="CC34" s="1148"/>
      <c r="CD34" s="1148"/>
      <c r="CE34" s="1148"/>
      <c r="CF34" s="1148"/>
      <c r="CG34" s="1148"/>
      <c r="CH34" s="1148"/>
      <c r="CI34" s="1148"/>
      <c r="CJ34" s="1148"/>
      <c r="CK34" s="1148"/>
      <c r="CL34" s="1148"/>
      <c r="CM34" s="1148"/>
      <c r="CN34" s="1148"/>
      <c r="CO34" s="1148"/>
      <c r="CP34" s="1148"/>
      <c r="CQ34" s="1148"/>
      <c r="CR34" s="1148"/>
      <c r="CS34" s="1148"/>
      <c r="CT34" s="1148"/>
      <c r="CU34" s="1148"/>
      <c r="CV34" s="1148"/>
      <c r="CW34" s="1148"/>
      <c r="CX34" s="1148"/>
      <c r="CY34" s="1148"/>
      <c r="CZ34" s="1148"/>
      <c r="DA34" s="1148"/>
      <c r="DB34" s="1148"/>
      <c r="DC34" s="1148"/>
      <c r="DD34" s="1148"/>
      <c r="DE34" s="1148"/>
      <c r="DF34" s="1148"/>
      <c r="DG34" s="1148"/>
      <c r="DH34" s="1148"/>
      <c r="DI34" s="1148"/>
      <c r="DJ34" s="1148"/>
      <c r="DK34" s="1148"/>
      <c r="DL34" s="1148"/>
      <c r="DM34" s="1148"/>
      <c r="DN34" s="1148"/>
      <c r="DO34" s="1148"/>
      <c r="DP34" s="1148"/>
      <c r="DQ34" s="1148"/>
      <c r="DR34" s="1148"/>
      <c r="DS34" s="1148"/>
      <c r="DT34" s="1148"/>
      <c r="DU34" s="1148"/>
      <c r="DV34" s="1148"/>
      <c r="DW34" s="1148"/>
      <c r="DX34" s="1148"/>
      <c r="DY34" s="1148"/>
      <c r="DZ34" s="1148"/>
      <c r="EA34" s="1148"/>
    </row>
    <row r="35" spans="1:131" s="1149" customFormat="1" ht="35.1" customHeight="1" thickBot="1">
      <c r="A35" s="1570"/>
      <c r="B35" s="1236" t="s">
        <v>802</v>
      </c>
      <c r="C35" s="1573"/>
      <c r="D35" s="1237">
        <f t="shared" si="1"/>
        <v>106269.21289537713</v>
      </c>
      <c r="E35" s="1238">
        <v>0</v>
      </c>
      <c r="F35" s="1238">
        <f>F32+F33+F34</f>
        <v>0</v>
      </c>
      <c r="G35" s="1239">
        <f t="shared" ref="G35:H35" si="57">G32+G33+G34</f>
        <v>0</v>
      </c>
      <c r="H35" s="1239">
        <f t="shared" si="57"/>
        <v>0.68499999999999994</v>
      </c>
      <c r="I35" s="1240">
        <f t="shared" si="52"/>
        <v>0.68499999999999994</v>
      </c>
      <c r="J35" s="1241">
        <f>J32+J33+J34</f>
        <v>0</v>
      </c>
      <c r="K35" s="1242">
        <f t="shared" ref="K35:L35" si="58">K32+K33+K34</f>
        <v>0</v>
      </c>
      <c r="L35" s="1242">
        <f t="shared" si="58"/>
        <v>0</v>
      </c>
      <c r="M35" s="1243">
        <f t="shared" si="53"/>
        <v>0</v>
      </c>
      <c r="N35" s="1241">
        <f>N32+N33+N34</f>
        <v>873532.92999999993</v>
      </c>
      <c r="O35" s="1242">
        <f t="shared" ref="O35:P35" si="59">O32+O33+O34</f>
        <v>0</v>
      </c>
      <c r="P35" s="1242">
        <f t="shared" si="59"/>
        <v>0</v>
      </c>
      <c r="Q35" s="1243">
        <f t="shared" si="54"/>
        <v>873532.92999999993</v>
      </c>
      <c r="R35" s="1241">
        <f>R32+R33+R34</f>
        <v>873532.92999999993</v>
      </c>
      <c r="S35" s="1242">
        <f t="shared" ref="S35:T35" si="60">S32+S33+S34</f>
        <v>0</v>
      </c>
      <c r="T35" s="1242">
        <f t="shared" si="60"/>
        <v>0</v>
      </c>
      <c r="U35" s="1243">
        <f t="shared" si="56"/>
        <v>873532.92999999993</v>
      </c>
      <c r="V35" s="1150"/>
      <c r="W35" s="1150"/>
      <c r="X35" s="1148"/>
      <c r="Y35" s="1148"/>
      <c r="Z35" s="1148"/>
      <c r="AA35" s="1148"/>
      <c r="AB35" s="1148"/>
      <c r="AC35" s="1148"/>
      <c r="AD35" s="1148"/>
      <c r="AE35" s="1148"/>
      <c r="AF35" s="1148"/>
      <c r="AG35" s="1148"/>
      <c r="AH35" s="1148"/>
      <c r="AI35" s="1148"/>
      <c r="AJ35" s="1148"/>
      <c r="AK35" s="1148"/>
      <c r="AL35" s="1148"/>
      <c r="AM35" s="1148"/>
      <c r="AN35" s="1148"/>
      <c r="AO35" s="1148"/>
      <c r="AP35" s="1148"/>
      <c r="AQ35" s="1148"/>
      <c r="AR35" s="1148"/>
      <c r="AS35" s="1148"/>
      <c r="AT35" s="1148"/>
      <c r="AU35" s="1148"/>
      <c r="AV35" s="1148"/>
      <c r="AW35" s="1148"/>
      <c r="AX35" s="1148"/>
      <c r="AY35" s="1148"/>
      <c r="AZ35" s="1148"/>
      <c r="BA35" s="1148"/>
      <c r="BB35" s="1148"/>
      <c r="BC35" s="1148"/>
      <c r="BD35" s="1148"/>
      <c r="BE35" s="1148"/>
      <c r="BF35" s="1148"/>
      <c r="BG35" s="1148"/>
      <c r="BH35" s="1148"/>
      <c r="BI35" s="1148"/>
      <c r="BJ35" s="1148"/>
      <c r="BK35" s="1148"/>
      <c r="BL35" s="1148"/>
      <c r="BM35" s="1148"/>
      <c r="BN35" s="1148"/>
      <c r="BO35" s="1148"/>
      <c r="BP35" s="1148"/>
      <c r="BQ35" s="1148"/>
      <c r="BR35" s="1148"/>
      <c r="BS35" s="1148"/>
      <c r="BT35" s="1148"/>
      <c r="BU35" s="1148"/>
      <c r="BV35" s="1148"/>
      <c r="BW35" s="1148"/>
      <c r="BX35" s="1148"/>
      <c r="BY35" s="1148"/>
      <c r="BZ35" s="1148"/>
      <c r="CA35" s="1148"/>
      <c r="CB35" s="1148"/>
      <c r="CC35" s="1148"/>
      <c r="CD35" s="1148"/>
      <c r="CE35" s="1148"/>
      <c r="CF35" s="1148"/>
      <c r="CG35" s="1148"/>
      <c r="CH35" s="1148"/>
      <c r="CI35" s="1148"/>
      <c r="CJ35" s="1148"/>
      <c r="CK35" s="1148"/>
      <c r="CL35" s="1148"/>
      <c r="CM35" s="1148"/>
      <c r="CN35" s="1148"/>
      <c r="CO35" s="1148"/>
      <c r="CP35" s="1148"/>
      <c r="CQ35" s="1148"/>
      <c r="CR35" s="1148"/>
      <c r="CS35" s="1148"/>
      <c r="CT35" s="1148"/>
      <c r="CU35" s="1148"/>
      <c r="CV35" s="1148"/>
      <c r="CW35" s="1148"/>
      <c r="CX35" s="1148"/>
      <c r="CY35" s="1148"/>
      <c r="CZ35" s="1148"/>
      <c r="DA35" s="1148"/>
      <c r="DB35" s="1148"/>
      <c r="DC35" s="1148"/>
      <c r="DD35" s="1148"/>
      <c r="DE35" s="1148"/>
      <c r="DF35" s="1148"/>
      <c r="DG35" s="1148"/>
      <c r="DH35" s="1148"/>
      <c r="DI35" s="1148"/>
      <c r="DJ35" s="1148"/>
      <c r="DK35" s="1148"/>
      <c r="DL35" s="1148"/>
      <c r="DM35" s="1148"/>
      <c r="DN35" s="1148"/>
      <c r="DO35" s="1148"/>
      <c r="DP35" s="1148"/>
      <c r="DQ35" s="1148"/>
      <c r="DR35" s="1148"/>
      <c r="DS35" s="1148"/>
      <c r="DT35" s="1148"/>
      <c r="DU35" s="1148"/>
      <c r="DV35" s="1148"/>
      <c r="DW35" s="1148"/>
      <c r="DX35" s="1148"/>
      <c r="DY35" s="1148"/>
      <c r="DZ35" s="1148"/>
      <c r="EA35" s="1148"/>
    </row>
    <row r="36" spans="1:131" s="1149" customFormat="1" ht="35.1" customHeight="1">
      <c r="A36" s="1568" t="s">
        <v>824</v>
      </c>
      <c r="B36" s="1220" t="s">
        <v>52</v>
      </c>
      <c r="C36" s="1571">
        <v>12001</v>
      </c>
      <c r="D36" s="1221">
        <f t="shared" si="1"/>
        <v>102133.22935503314</v>
      </c>
      <c r="E36" s="1222">
        <v>0</v>
      </c>
      <c r="F36" s="1222"/>
      <c r="G36" s="1223"/>
      <c r="H36" s="1223">
        <v>0.55300000000000005</v>
      </c>
      <c r="I36" s="1224">
        <f>F36+G36+H36</f>
        <v>0.55300000000000005</v>
      </c>
      <c r="J36" s="1225"/>
      <c r="K36" s="1226">
        <v>0</v>
      </c>
      <c r="L36" s="1226">
        <v>0</v>
      </c>
      <c r="M36" s="1227">
        <f>J36+K36+L36</f>
        <v>0</v>
      </c>
      <c r="N36" s="1225">
        <v>677756.11</v>
      </c>
      <c r="O36" s="1226">
        <v>0</v>
      </c>
      <c r="P36" s="1226">
        <v>0</v>
      </c>
      <c r="Q36" s="1227">
        <f>N36+O36+P36</f>
        <v>677756.11</v>
      </c>
      <c r="R36" s="1225">
        <f>J36+N36</f>
        <v>677756.11</v>
      </c>
      <c r="S36" s="1226">
        <f t="shared" ref="S36:T38" si="61">K36+O36</f>
        <v>0</v>
      </c>
      <c r="T36" s="1226">
        <f t="shared" si="61"/>
        <v>0</v>
      </c>
      <c r="U36" s="1227">
        <f>R36+S36+T36</f>
        <v>677756.11</v>
      </c>
      <c r="V36" s="1150"/>
      <c r="W36" s="1150"/>
      <c r="X36" s="1148"/>
      <c r="Y36" s="1148"/>
      <c r="Z36" s="1148"/>
      <c r="AA36" s="1148"/>
      <c r="AB36" s="1148"/>
      <c r="AC36" s="1148"/>
      <c r="AD36" s="1148"/>
      <c r="AE36" s="1148"/>
      <c r="AF36" s="1148"/>
      <c r="AG36" s="1148"/>
      <c r="AH36" s="1148"/>
      <c r="AI36" s="1148"/>
      <c r="AJ36" s="1148"/>
      <c r="AK36" s="1148"/>
      <c r="AL36" s="1148"/>
      <c r="AM36" s="1148"/>
      <c r="AN36" s="1148"/>
      <c r="AO36" s="1148"/>
      <c r="AP36" s="1148"/>
      <c r="AQ36" s="1148"/>
      <c r="AR36" s="1148"/>
      <c r="AS36" s="1148"/>
      <c r="AT36" s="1148"/>
      <c r="AU36" s="1148"/>
      <c r="AV36" s="1148"/>
      <c r="AW36" s="1148"/>
      <c r="AX36" s="1148"/>
      <c r="AY36" s="1148"/>
      <c r="AZ36" s="1148"/>
      <c r="BA36" s="1148"/>
      <c r="BB36" s="1148"/>
      <c r="BC36" s="1148"/>
      <c r="BD36" s="1148"/>
      <c r="BE36" s="1148"/>
      <c r="BF36" s="1148"/>
      <c r="BG36" s="1148"/>
      <c r="BH36" s="1148"/>
      <c r="BI36" s="1148"/>
      <c r="BJ36" s="1148"/>
      <c r="BK36" s="1148"/>
      <c r="BL36" s="1148"/>
      <c r="BM36" s="1148"/>
      <c r="BN36" s="1148"/>
      <c r="BO36" s="1148"/>
      <c r="BP36" s="1148"/>
      <c r="BQ36" s="1148"/>
      <c r="BR36" s="1148"/>
      <c r="BS36" s="1148"/>
      <c r="BT36" s="1148"/>
      <c r="BU36" s="1148"/>
      <c r="BV36" s="1148"/>
      <c r="BW36" s="1148"/>
      <c r="BX36" s="1148"/>
      <c r="BY36" s="1148"/>
      <c r="BZ36" s="1148"/>
      <c r="CA36" s="1148"/>
      <c r="CB36" s="1148"/>
      <c r="CC36" s="1148"/>
      <c r="CD36" s="1148"/>
      <c r="CE36" s="1148"/>
      <c r="CF36" s="1148"/>
      <c r="CG36" s="1148"/>
      <c r="CH36" s="1148"/>
      <c r="CI36" s="1148"/>
      <c r="CJ36" s="1148"/>
      <c r="CK36" s="1148"/>
      <c r="CL36" s="1148"/>
      <c r="CM36" s="1148"/>
      <c r="CN36" s="1148"/>
      <c r="CO36" s="1148"/>
      <c r="CP36" s="1148"/>
      <c r="CQ36" s="1148"/>
      <c r="CR36" s="1148"/>
      <c r="CS36" s="1148"/>
      <c r="CT36" s="1148"/>
      <c r="CU36" s="1148"/>
      <c r="CV36" s="1148"/>
      <c r="CW36" s="1148"/>
      <c r="CX36" s="1148"/>
      <c r="CY36" s="1148"/>
      <c r="CZ36" s="1148"/>
      <c r="DA36" s="1148"/>
      <c r="DB36" s="1148"/>
      <c r="DC36" s="1148"/>
      <c r="DD36" s="1148"/>
      <c r="DE36" s="1148"/>
      <c r="DF36" s="1148"/>
      <c r="DG36" s="1148"/>
      <c r="DH36" s="1148"/>
      <c r="DI36" s="1148"/>
      <c r="DJ36" s="1148"/>
      <c r="DK36" s="1148"/>
      <c r="DL36" s="1148"/>
      <c r="DM36" s="1148"/>
      <c r="DN36" s="1148"/>
      <c r="DO36" s="1148"/>
      <c r="DP36" s="1148"/>
      <c r="DQ36" s="1148"/>
      <c r="DR36" s="1148"/>
      <c r="DS36" s="1148"/>
      <c r="DT36" s="1148"/>
      <c r="DU36" s="1148"/>
      <c r="DV36" s="1148"/>
      <c r="DW36" s="1148"/>
      <c r="DX36" s="1148"/>
      <c r="DY36" s="1148"/>
      <c r="DZ36" s="1148"/>
      <c r="EA36" s="1148"/>
    </row>
    <row r="37" spans="1:131" s="1149" customFormat="1" ht="35.1" customHeight="1">
      <c r="A37" s="1569"/>
      <c r="B37" s="1228" t="s">
        <v>800</v>
      </c>
      <c r="C37" s="1572"/>
      <c r="D37" s="1229">
        <f t="shared" si="1"/>
        <v>133939.54166666666</v>
      </c>
      <c r="E37" s="1230">
        <v>0</v>
      </c>
      <c r="F37" s="1230"/>
      <c r="G37" s="1231"/>
      <c r="H37" s="1231">
        <v>0.08</v>
      </c>
      <c r="I37" s="1232">
        <f t="shared" ref="I37:I39" si="62">F37+G37+H37</f>
        <v>0.08</v>
      </c>
      <c r="J37" s="1233"/>
      <c r="K37" s="1234">
        <v>0</v>
      </c>
      <c r="L37" s="1234">
        <v>0</v>
      </c>
      <c r="M37" s="1235">
        <f t="shared" ref="M37:M39" si="63">J37+K37+L37</f>
        <v>0</v>
      </c>
      <c r="N37" s="1233">
        <v>128581.96</v>
      </c>
      <c r="O37" s="1234">
        <v>0</v>
      </c>
      <c r="P37" s="1234">
        <v>0</v>
      </c>
      <c r="Q37" s="1235">
        <f t="shared" ref="Q37:Q39" si="64">N37+O37+P37</f>
        <v>128581.96</v>
      </c>
      <c r="R37" s="1233">
        <f t="shared" ref="R37:R38" si="65">J37+N37</f>
        <v>128581.96</v>
      </c>
      <c r="S37" s="1234">
        <f t="shared" si="61"/>
        <v>0</v>
      </c>
      <c r="T37" s="1234">
        <f t="shared" si="61"/>
        <v>0</v>
      </c>
      <c r="U37" s="1235">
        <f t="shared" ref="U37:U39" si="66">R37+S37+T37</f>
        <v>128581.96</v>
      </c>
      <c r="V37" s="1150"/>
      <c r="W37" s="1150"/>
      <c r="X37" s="1148"/>
      <c r="Y37" s="1148"/>
      <c r="Z37" s="1148"/>
      <c r="AA37" s="1148"/>
      <c r="AB37" s="1148"/>
      <c r="AC37" s="1148"/>
      <c r="AD37" s="1148"/>
      <c r="AE37" s="1148"/>
      <c r="AF37" s="1148"/>
      <c r="AG37" s="1148"/>
      <c r="AH37" s="1148"/>
      <c r="AI37" s="1148"/>
      <c r="AJ37" s="1148"/>
      <c r="AK37" s="1148"/>
      <c r="AL37" s="1148"/>
      <c r="AM37" s="1148"/>
      <c r="AN37" s="1148"/>
      <c r="AO37" s="1148"/>
      <c r="AP37" s="1148"/>
      <c r="AQ37" s="1148"/>
      <c r="AR37" s="1148"/>
      <c r="AS37" s="1148"/>
      <c r="AT37" s="1148"/>
      <c r="AU37" s="1148"/>
      <c r="AV37" s="1148"/>
      <c r="AW37" s="1148"/>
      <c r="AX37" s="1148"/>
      <c r="AY37" s="1148"/>
      <c r="AZ37" s="1148"/>
      <c r="BA37" s="1148"/>
      <c r="BB37" s="1148"/>
      <c r="BC37" s="1148"/>
      <c r="BD37" s="1148"/>
      <c r="BE37" s="1148"/>
      <c r="BF37" s="1148"/>
      <c r="BG37" s="1148"/>
      <c r="BH37" s="1148"/>
      <c r="BI37" s="1148"/>
      <c r="BJ37" s="1148"/>
      <c r="BK37" s="1148"/>
      <c r="BL37" s="1148"/>
      <c r="BM37" s="1148"/>
      <c r="BN37" s="1148"/>
      <c r="BO37" s="1148"/>
      <c r="BP37" s="1148"/>
      <c r="BQ37" s="1148"/>
      <c r="BR37" s="1148"/>
      <c r="BS37" s="1148"/>
      <c r="BT37" s="1148"/>
      <c r="BU37" s="1148"/>
      <c r="BV37" s="1148"/>
      <c r="BW37" s="1148"/>
      <c r="BX37" s="1148"/>
      <c r="BY37" s="1148"/>
      <c r="BZ37" s="1148"/>
      <c r="CA37" s="1148"/>
      <c r="CB37" s="1148"/>
      <c r="CC37" s="1148"/>
      <c r="CD37" s="1148"/>
      <c r="CE37" s="1148"/>
      <c r="CF37" s="1148"/>
      <c r="CG37" s="1148"/>
      <c r="CH37" s="1148"/>
      <c r="CI37" s="1148"/>
      <c r="CJ37" s="1148"/>
      <c r="CK37" s="1148"/>
      <c r="CL37" s="1148"/>
      <c r="CM37" s="1148"/>
      <c r="CN37" s="1148"/>
      <c r="CO37" s="1148"/>
      <c r="CP37" s="1148"/>
      <c r="CQ37" s="1148"/>
      <c r="CR37" s="1148"/>
      <c r="CS37" s="1148"/>
      <c r="CT37" s="1148"/>
      <c r="CU37" s="1148"/>
      <c r="CV37" s="1148"/>
      <c r="CW37" s="1148"/>
      <c r="CX37" s="1148"/>
      <c r="CY37" s="1148"/>
      <c r="CZ37" s="1148"/>
      <c r="DA37" s="1148"/>
      <c r="DB37" s="1148"/>
      <c r="DC37" s="1148"/>
      <c r="DD37" s="1148"/>
      <c r="DE37" s="1148"/>
      <c r="DF37" s="1148"/>
      <c r="DG37" s="1148"/>
      <c r="DH37" s="1148"/>
      <c r="DI37" s="1148"/>
      <c r="DJ37" s="1148"/>
      <c r="DK37" s="1148"/>
      <c r="DL37" s="1148"/>
      <c r="DM37" s="1148"/>
      <c r="DN37" s="1148"/>
      <c r="DO37" s="1148"/>
      <c r="DP37" s="1148"/>
      <c r="DQ37" s="1148"/>
      <c r="DR37" s="1148"/>
      <c r="DS37" s="1148"/>
      <c r="DT37" s="1148"/>
      <c r="DU37" s="1148"/>
      <c r="DV37" s="1148"/>
      <c r="DW37" s="1148"/>
      <c r="DX37" s="1148"/>
      <c r="DY37" s="1148"/>
      <c r="DZ37" s="1148"/>
      <c r="EA37" s="1148"/>
    </row>
    <row r="38" spans="1:131" s="1149" customFormat="1" ht="35.1" customHeight="1">
      <c r="A38" s="1569"/>
      <c r="B38" s="1228" t="s">
        <v>801</v>
      </c>
      <c r="C38" s="1572"/>
      <c r="D38" s="1229"/>
      <c r="E38" s="1230">
        <v>0</v>
      </c>
      <c r="F38" s="1230"/>
      <c r="G38" s="1231"/>
      <c r="H38" s="1231"/>
      <c r="I38" s="1232">
        <f t="shared" si="62"/>
        <v>0</v>
      </c>
      <c r="J38" s="1233">
        <v>0</v>
      </c>
      <c r="K38" s="1234">
        <v>0</v>
      </c>
      <c r="L38" s="1234"/>
      <c r="M38" s="1235">
        <f t="shared" si="63"/>
        <v>0</v>
      </c>
      <c r="N38" s="1233">
        <v>0</v>
      </c>
      <c r="O38" s="1234">
        <v>0</v>
      </c>
      <c r="P38" s="1234">
        <v>0</v>
      </c>
      <c r="Q38" s="1235">
        <f t="shared" si="64"/>
        <v>0</v>
      </c>
      <c r="R38" s="1233">
        <f t="shared" si="65"/>
        <v>0</v>
      </c>
      <c r="S38" s="1234">
        <f t="shared" si="61"/>
        <v>0</v>
      </c>
      <c r="T38" s="1234">
        <f t="shared" si="61"/>
        <v>0</v>
      </c>
      <c r="U38" s="1235">
        <f t="shared" si="66"/>
        <v>0</v>
      </c>
      <c r="V38" s="1150"/>
      <c r="W38" s="1150"/>
      <c r="X38" s="1148"/>
      <c r="Y38" s="1148"/>
      <c r="Z38" s="1148"/>
      <c r="AA38" s="1148"/>
      <c r="AB38" s="1148"/>
      <c r="AC38" s="1148"/>
      <c r="AD38" s="1148"/>
      <c r="AE38" s="1148"/>
      <c r="AF38" s="1148"/>
      <c r="AG38" s="1148"/>
      <c r="AH38" s="1148"/>
      <c r="AI38" s="1148"/>
      <c r="AJ38" s="1148"/>
      <c r="AK38" s="1148"/>
      <c r="AL38" s="1148"/>
      <c r="AM38" s="1148"/>
      <c r="AN38" s="1148"/>
      <c r="AO38" s="1148"/>
      <c r="AP38" s="1148"/>
      <c r="AQ38" s="1148"/>
      <c r="AR38" s="1148"/>
      <c r="AS38" s="1148"/>
      <c r="AT38" s="1148"/>
      <c r="AU38" s="1148"/>
      <c r="AV38" s="1148"/>
      <c r="AW38" s="1148"/>
      <c r="AX38" s="1148"/>
      <c r="AY38" s="1148"/>
      <c r="AZ38" s="1148"/>
      <c r="BA38" s="1148"/>
      <c r="BB38" s="1148"/>
      <c r="BC38" s="1148"/>
      <c r="BD38" s="1148"/>
      <c r="BE38" s="1148"/>
      <c r="BF38" s="1148"/>
      <c r="BG38" s="1148"/>
      <c r="BH38" s="1148"/>
      <c r="BI38" s="1148"/>
      <c r="BJ38" s="1148"/>
      <c r="BK38" s="1148"/>
      <c r="BL38" s="1148"/>
      <c r="BM38" s="1148"/>
      <c r="BN38" s="1148"/>
      <c r="BO38" s="1148"/>
      <c r="BP38" s="1148"/>
      <c r="BQ38" s="1148"/>
      <c r="BR38" s="1148"/>
      <c r="BS38" s="1148"/>
      <c r="BT38" s="1148"/>
      <c r="BU38" s="1148"/>
      <c r="BV38" s="1148"/>
      <c r="BW38" s="1148"/>
      <c r="BX38" s="1148"/>
      <c r="BY38" s="1148"/>
      <c r="BZ38" s="1148"/>
      <c r="CA38" s="1148"/>
      <c r="CB38" s="1148"/>
      <c r="CC38" s="1148"/>
      <c r="CD38" s="1148"/>
      <c r="CE38" s="1148"/>
      <c r="CF38" s="1148"/>
      <c r="CG38" s="1148"/>
      <c r="CH38" s="1148"/>
      <c r="CI38" s="1148"/>
      <c r="CJ38" s="1148"/>
      <c r="CK38" s="1148"/>
      <c r="CL38" s="1148"/>
      <c r="CM38" s="1148"/>
      <c r="CN38" s="1148"/>
      <c r="CO38" s="1148"/>
      <c r="CP38" s="1148"/>
      <c r="CQ38" s="1148"/>
      <c r="CR38" s="1148"/>
      <c r="CS38" s="1148"/>
      <c r="CT38" s="1148"/>
      <c r="CU38" s="1148"/>
      <c r="CV38" s="1148"/>
      <c r="CW38" s="1148"/>
      <c r="CX38" s="1148"/>
      <c r="CY38" s="1148"/>
      <c r="CZ38" s="1148"/>
      <c r="DA38" s="1148"/>
      <c r="DB38" s="1148"/>
      <c r="DC38" s="1148"/>
      <c r="DD38" s="1148"/>
      <c r="DE38" s="1148"/>
      <c r="DF38" s="1148"/>
      <c r="DG38" s="1148"/>
      <c r="DH38" s="1148"/>
      <c r="DI38" s="1148"/>
      <c r="DJ38" s="1148"/>
      <c r="DK38" s="1148"/>
      <c r="DL38" s="1148"/>
      <c r="DM38" s="1148"/>
      <c r="DN38" s="1148"/>
      <c r="DO38" s="1148"/>
      <c r="DP38" s="1148"/>
      <c r="DQ38" s="1148"/>
      <c r="DR38" s="1148"/>
      <c r="DS38" s="1148"/>
      <c r="DT38" s="1148"/>
      <c r="DU38" s="1148"/>
      <c r="DV38" s="1148"/>
      <c r="DW38" s="1148"/>
      <c r="DX38" s="1148"/>
      <c r="DY38" s="1148"/>
      <c r="DZ38" s="1148"/>
      <c r="EA38" s="1148"/>
    </row>
    <row r="39" spans="1:131" s="1149" customFormat="1" ht="35.1" customHeight="1" thickBot="1">
      <c r="A39" s="1570"/>
      <c r="B39" s="1236" t="s">
        <v>802</v>
      </c>
      <c r="C39" s="1573"/>
      <c r="D39" s="1237">
        <f t="shared" si="1"/>
        <v>106152.98446550815</v>
      </c>
      <c r="E39" s="1238">
        <v>0</v>
      </c>
      <c r="F39" s="1238">
        <f>F36+F37+F38</f>
        <v>0</v>
      </c>
      <c r="G39" s="1239">
        <f t="shared" ref="G39:H39" si="67">G36+G37+G38</f>
        <v>0</v>
      </c>
      <c r="H39" s="1239">
        <f t="shared" si="67"/>
        <v>0.63300000000000001</v>
      </c>
      <c r="I39" s="1240">
        <f t="shared" si="62"/>
        <v>0.63300000000000001</v>
      </c>
      <c r="J39" s="1241">
        <f>J36+J37+J38</f>
        <v>0</v>
      </c>
      <c r="K39" s="1242">
        <f t="shared" ref="K39:L39" si="68">K36+K37+K38</f>
        <v>0</v>
      </c>
      <c r="L39" s="1242">
        <f t="shared" si="68"/>
        <v>0</v>
      </c>
      <c r="M39" s="1243">
        <f t="shared" si="63"/>
        <v>0</v>
      </c>
      <c r="N39" s="1241">
        <f>N36+N37+N38</f>
        <v>806338.07</v>
      </c>
      <c r="O39" s="1242">
        <f t="shared" ref="O39:P39" si="69">O36+O37+O38</f>
        <v>0</v>
      </c>
      <c r="P39" s="1242">
        <f t="shared" si="69"/>
        <v>0</v>
      </c>
      <c r="Q39" s="1243">
        <f t="shared" si="64"/>
        <v>806338.07</v>
      </c>
      <c r="R39" s="1241">
        <f>R36+R37+R38</f>
        <v>806338.07</v>
      </c>
      <c r="S39" s="1242">
        <f t="shared" ref="S39:T39" si="70">S36+S37+S38</f>
        <v>0</v>
      </c>
      <c r="T39" s="1242">
        <f t="shared" si="70"/>
        <v>0</v>
      </c>
      <c r="U39" s="1243">
        <f t="shared" si="66"/>
        <v>806338.07</v>
      </c>
      <c r="V39" s="1150"/>
      <c r="W39" s="1150"/>
      <c r="X39" s="1148"/>
      <c r="Y39" s="1148"/>
      <c r="Z39" s="1148"/>
      <c r="AA39" s="1148"/>
      <c r="AB39" s="1148"/>
      <c r="AC39" s="1148"/>
      <c r="AD39" s="1148"/>
      <c r="AE39" s="1148"/>
      <c r="AF39" s="1148"/>
      <c r="AG39" s="1148"/>
      <c r="AH39" s="1148"/>
      <c r="AI39" s="1148"/>
      <c r="AJ39" s="1148"/>
      <c r="AK39" s="1148"/>
      <c r="AL39" s="1148"/>
      <c r="AM39" s="1148"/>
      <c r="AN39" s="1148"/>
      <c r="AO39" s="1148"/>
      <c r="AP39" s="1148"/>
      <c r="AQ39" s="1148"/>
      <c r="AR39" s="1148"/>
      <c r="AS39" s="1148"/>
      <c r="AT39" s="1148"/>
      <c r="AU39" s="1148"/>
      <c r="AV39" s="1148"/>
      <c r="AW39" s="1148"/>
      <c r="AX39" s="1148"/>
      <c r="AY39" s="1148"/>
      <c r="AZ39" s="1148"/>
      <c r="BA39" s="1148"/>
      <c r="BB39" s="1148"/>
      <c r="BC39" s="1148"/>
      <c r="BD39" s="1148"/>
      <c r="BE39" s="1148"/>
      <c r="BF39" s="1148"/>
      <c r="BG39" s="1148"/>
      <c r="BH39" s="1148"/>
      <c r="BI39" s="1148"/>
      <c r="BJ39" s="1148"/>
      <c r="BK39" s="1148"/>
      <c r="BL39" s="1148"/>
      <c r="BM39" s="1148"/>
      <c r="BN39" s="1148"/>
      <c r="BO39" s="1148"/>
      <c r="BP39" s="1148"/>
      <c r="BQ39" s="1148"/>
      <c r="BR39" s="1148"/>
      <c r="BS39" s="1148"/>
      <c r="BT39" s="1148"/>
      <c r="BU39" s="1148"/>
      <c r="BV39" s="1148"/>
      <c r="BW39" s="1148"/>
      <c r="BX39" s="1148"/>
      <c r="BY39" s="1148"/>
      <c r="BZ39" s="1148"/>
      <c r="CA39" s="1148"/>
      <c r="CB39" s="1148"/>
      <c r="CC39" s="1148"/>
      <c r="CD39" s="1148"/>
      <c r="CE39" s="1148"/>
      <c r="CF39" s="1148"/>
      <c r="CG39" s="1148"/>
      <c r="CH39" s="1148"/>
      <c r="CI39" s="1148"/>
      <c r="CJ39" s="1148"/>
      <c r="CK39" s="1148"/>
      <c r="CL39" s="1148"/>
      <c r="CM39" s="1148"/>
      <c r="CN39" s="1148"/>
      <c r="CO39" s="1148"/>
      <c r="CP39" s="1148"/>
      <c r="CQ39" s="1148"/>
      <c r="CR39" s="1148"/>
      <c r="CS39" s="1148"/>
      <c r="CT39" s="1148"/>
      <c r="CU39" s="1148"/>
      <c r="CV39" s="1148"/>
      <c r="CW39" s="1148"/>
      <c r="CX39" s="1148"/>
      <c r="CY39" s="1148"/>
      <c r="CZ39" s="1148"/>
      <c r="DA39" s="1148"/>
      <c r="DB39" s="1148"/>
      <c r="DC39" s="1148"/>
      <c r="DD39" s="1148"/>
      <c r="DE39" s="1148"/>
      <c r="DF39" s="1148"/>
      <c r="DG39" s="1148"/>
      <c r="DH39" s="1148"/>
      <c r="DI39" s="1148"/>
      <c r="DJ39" s="1148"/>
      <c r="DK39" s="1148"/>
      <c r="DL39" s="1148"/>
      <c r="DM39" s="1148"/>
      <c r="DN39" s="1148"/>
      <c r="DO39" s="1148"/>
      <c r="DP39" s="1148"/>
      <c r="DQ39" s="1148"/>
      <c r="DR39" s="1148"/>
      <c r="DS39" s="1148"/>
      <c r="DT39" s="1148"/>
      <c r="DU39" s="1148"/>
      <c r="DV39" s="1148"/>
      <c r="DW39" s="1148"/>
      <c r="DX39" s="1148"/>
      <c r="DY39" s="1148"/>
      <c r="DZ39" s="1148"/>
      <c r="EA39" s="1148"/>
    </row>
    <row r="40" spans="1:131" s="1149" customFormat="1" ht="35.1" customHeight="1">
      <c r="A40" s="1568" t="s">
        <v>824</v>
      </c>
      <c r="B40" s="1220" t="s">
        <v>52</v>
      </c>
      <c r="C40" s="1571">
        <v>6003</v>
      </c>
      <c r="D40" s="1221"/>
      <c r="E40" s="1222">
        <v>0</v>
      </c>
      <c r="F40" s="1222"/>
      <c r="G40" s="1223"/>
      <c r="H40" s="1223"/>
      <c r="I40" s="1224">
        <f>F40+G40+H40</f>
        <v>0</v>
      </c>
      <c r="J40" s="1225"/>
      <c r="K40" s="1226">
        <v>0</v>
      </c>
      <c r="L40" s="1226">
        <v>0</v>
      </c>
      <c r="M40" s="1227">
        <f>J40+K40+L40</f>
        <v>0</v>
      </c>
      <c r="N40" s="1225"/>
      <c r="O40" s="1226">
        <v>0</v>
      </c>
      <c r="P40" s="1226">
        <v>0</v>
      </c>
      <c r="Q40" s="1227">
        <f>N40+O40+P40</f>
        <v>0</v>
      </c>
      <c r="R40" s="1225">
        <f>J40+N40</f>
        <v>0</v>
      </c>
      <c r="S40" s="1226">
        <f t="shared" ref="S40:T42" si="71">K40+O40</f>
        <v>0</v>
      </c>
      <c r="T40" s="1226">
        <f t="shared" si="71"/>
        <v>0</v>
      </c>
      <c r="U40" s="1227">
        <f>R40+S40+T40</f>
        <v>0</v>
      </c>
      <c r="V40" s="1150"/>
      <c r="W40" s="1150"/>
      <c r="X40" s="1148"/>
      <c r="Y40" s="1148"/>
      <c r="Z40" s="1148"/>
      <c r="AA40" s="1148"/>
      <c r="AB40" s="1148"/>
      <c r="AC40" s="1148"/>
      <c r="AD40" s="1148"/>
      <c r="AE40" s="1148"/>
      <c r="AF40" s="1148"/>
      <c r="AG40" s="1148"/>
      <c r="AH40" s="1148"/>
      <c r="AI40" s="1148"/>
      <c r="AJ40" s="1148"/>
      <c r="AK40" s="1148"/>
      <c r="AL40" s="1148"/>
      <c r="AM40" s="1148"/>
      <c r="AN40" s="1148"/>
      <c r="AO40" s="1148"/>
      <c r="AP40" s="1148"/>
      <c r="AQ40" s="1148"/>
      <c r="AR40" s="1148"/>
      <c r="AS40" s="1148"/>
      <c r="AT40" s="1148"/>
      <c r="AU40" s="1148"/>
      <c r="AV40" s="1148"/>
      <c r="AW40" s="1148"/>
      <c r="AX40" s="1148"/>
      <c r="AY40" s="1148"/>
      <c r="AZ40" s="1148"/>
      <c r="BA40" s="1148"/>
      <c r="BB40" s="1148"/>
      <c r="BC40" s="1148"/>
      <c r="BD40" s="1148"/>
      <c r="BE40" s="1148"/>
      <c r="BF40" s="1148"/>
      <c r="BG40" s="1148"/>
      <c r="BH40" s="1148"/>
      <c r="BI40" s="1148"/>
      <c r="BJ40" s="1148"/>
      <c r="BK40" s="1148"/>
      <c r="BL40" s="1148"/>
      <c r="BM40" s="1148"/>
      <c r="BN40" s="1148"/>
      <c r="BO40" s="1148"/>
      <c r="BP40" s="1148"/>
      <c r="BQ40" s="1148"/>
      <c r="BR40" s="1148"/>
      <c r="BS40" s="1148"/>
      <c r="BT40" s="1148"/>
      <c r="BU40" s="1148"/>
      <c r="BV40" s="1148"/>
      <c r="BW40" s="1148"/>
      <c r="BX40" s="1148"/>
      <c r="BY40" s="1148"/>
      <c r="BZ40" s="1148"/>
      <c r="CA40" s="1148"/>
      <c r="CB40" s="1148"/>
      <c r="CC40" s="1148"/>
      <c r="CD40" s="1148"/>
      <c r="CE40" s="1148"/>
      <c r="CF40" s="1148"/>
      <c r="CG40" s="1148"/>
      <c r="CH40" s="1148"/>
      <c r="CI40" s="1148"/>
      <c r="CJ40" s="1148"/>
      <c r="CK40" s="1148"/>
      <c r="CL40" s="1148"/>
      <c r="CM40" s="1148"/>
      <c r="CN40" s="1148"/>
      <c r="CO40" s="1148"/>
      <c r="CP40" s="1148"/>
      <c r="CQ40" s="1148"/>
      <c r="CR40" s="1148"/>
      <c r="CS40" s="1148"/>
      <c r="CT40" s="1148"/>
      <c r="CU40" s="1148"/>
      <c r="CV40" s="1148"/>
      <c r="CW40" s="1148"/>
      <c r="CX40" s="1148"/>
      <c r="CY40" s="1148"/>
      <c r="CZ40" s="1148"/>
      <c r="DA40" s="1148"/>
      <c r="DB40" s="1148"/>
      <c r="DC40" s="1148"/>
      <c r="DD40" s="1148"/>
      <c r="DE40" s="1148"/>
      <c r="DF40" s="1148"/>
      <c r="DG40" s="1148"/>
      <c r="DH40" s="1148"/>
      <c r="DI40" s="1148"/>
      <c r="DJ40" s="1148"/>
      <c r="DK40" s="1148"/>
      <c r="DL40" s="1148"/>
      <c r="DM40" s="1148"/>
      <c r="DN40" s="1148"/>
      <c r="DO40" s="1148"/>
      <c r="DP40" s="1148"/>
      <c r="DQ40" s="1148"/>
      <c r="DR40" s="1148"/>
      <c r="DS40" s="1148"/>
      <c r="DT40" s="1148"/>
      <c r="DU40" s="1148"/>
      <c r="DV40" s="1148"/>
      <c r="DW40" s="1148"/>
      <c r="DX40" s="1148"/>
      <c r="DY40" s="1148"/>
      <c r="DZ40" s="1148"/>
      <c r="EA40" s="1148"/>
    </row>
    <row r="41" spans="1:131" s="1149" customFormat="1" ht="35.1" customHeight="1">
      <c r="A41" s="1569"/>
      <c r="B41" s="1228" t="s">
        <v>800</v>
      </c>
      <c r="C41" s="1572"/>
      <c r="D41" s="1229"/>
      <c r="E41" s="1230">
        <v>0</v>
      </c>
      <c r="F41" s="1230"/>
      <c r="G41" s="1231"/>
      <c r="H41" s="1231"/>
      <c r="I41" s="1232">
        <f t="shared" ref="I41:I43" si="72">F41+G41+H41</f>
        <v>0</v>
      </c>
      <c r="J41" s="1233"/>
      <c r="K41" s="1234">
        <v>0</v>
      </c>
      <c r="L41" s="1234">
        <v>0</v>
      </c>
      <c r="M41" s="1235">
        <f t="shared" ref="M41:M43" si="73">J41+K41+L41</f>
        <v>0</v>
      </c>
      <c r="N41" s="1233">
        <v>71642</v>
      </c>
      <c r="O41" s="1234">
        <v>0</v>
      </c>
      <c r="P41" s="1234">
        <v>0</v>
      </c>
      <c r="Q41" s="1235">
        <f t="shared" ref="Q41:Q43" si="74">N41+O41+P41</f>
        <v>71642</v>
      </c>
      <c r="R41" s="1233">
        <f t="shared" ref="R41:R42" si="75">J41+N41</f>
        <v>71642</v>
      </c>
      <c r="S41" s="1234">
        <f t="shared" si="71"/>
        <v>0</v>
      </c>
      <c r="T41" s="1234">
        <f t="shared" si="71"/>
        <v>0</v>
      </c>
      <c r="U41" s="1235">
        <f t="shared" ref="U41:U43" si="76">R41+S41+T41</f>
        <v>71642</v>
      </c>
      <c r="V41" s="1150"/>
      <c r="W41" s="1150"/>
      <c r="X41" s="1148"/>
      <c r="Y41" s="1148"/>
      <c r="Z41" s="1148"/>
      <c r="AA41" s="1148"/>
      <c r="AB41" s="1148"/>
      <c r="AC41" s="1148"/>
      <c r="AD41" s="1148"/>
      <c r="AE41" s="1148"/>
      <c r="AF41" s="1148"/>
      <c r="AG41" s="1148"/>
      <c r="AH41" s="1148"/>
      <c r="AI41" s="1148"/>
      <c r="AJ41" s="1148"/>
      <c r="AK41" s="1148"/>
      <c r="AL41" s="1148"/>
      <c r="AM41" s="1148"/>
      <c r="AN41" s="1148"/>
      <c r="AO41" s="1148"/>
      <c r="AP41" s="1148"/>
      <c r="AQ41" s="1148"/>
      <c r="AR41" s="1148"/>
      <c r="AS41" s="1148"/>
      <c r="AT41" s="1148"/>
      <c r="AU41" s="1148"/>
      <c r="AV41" s="1148"/>
      <c r="AW41" s="1148"/>
      <c r="AX41" s="1148"/>
      <c r="AY41" s="1148"/>
      <c r="AZ41" s="1148"/>
      <c r="BA41" s="1148"/>
      <c r="BB41" s="1148"/>
      <c r="BC41" s="1148"/>
      <c r="BD41" s="1148"/>
      <c r="BE41" s="1148"/>
      <c r="BF41" s="1148"/>
      <c r="BG41" s="1148"/>
      <c r="BH41" s="1148"/>
      <c r="BI41" s="1148"/>
      <c r="BJ41" s="1148"/>
      <c r="BK41" s="1148"/>
      <c r="BL41" s="1148"/>
      <c r="BM41" s="1148"/>
      <c r="BN41" s="1148"/>
      <c r="BO41" s="1148"/>
      <c r="BP41" s="1148"/>
      <c r="BQ41" s="1148"/>
      <c r="BR41" s="1148"/>
      <c r="BS41" s="1148"/>
      <c r="BT41" s="1148"/>
      <c r="BU41" s="1148"/>
      <c r="BV41" s="1148"/>
      <c r="BW41" s="1148"/>
      <c r="BX41" s="1148"/>
      <c r="BY41" s="1148"/>
      <c r="BZ41" s="1148"/>
      <c r="CA41" s="1148"/>
      <c r="CB41" s="1148"/>
      <c r="CC41" s="1148"/>
      <c r="CD41" s="1148"/>
      <c r="CE41" s="1148"/>
      <c r="CF41" s="1148"/>
      <c r="CG41" s="1148"/>
      <c r="CH41" s="1148"/>
      <c r="CI41" s="1148"/>
      <c r="CJ41" s="1148"/>
      <c r="CK41" s="1148"/>
      <c r="CL41" s="1148"/>
      <c r="CM41" s="1148"/>
      <c r="CN41" s="1148"/>
      <c r="CO41" s="1148"/>
      <c r="CP41" s="1148"/>
      <c r="CQ41" s="1148"/>
      <c r="CR41" s="1148"/>
      <c r="CS41" s="1148"/>
      <c r="CT41" s="1148"/>
      <c r="CU41" s="1148"/>
      <c r="CV41" s="1148"/>
      <c r="CW41" s="1148"/>
      <c r="CX41" s="1148"/>
      <c r="CY41" s="1148"/>
      <c r="CZ41" s="1148"/>
      <c r="DA41" s="1148"/>
      <c r="DB41" s="1148"/>
      <c r="DC41" s="1148"/>
      <c r="DD41" s="1148"/>
      <c r="DE41" s="1148"/>
      <c r="DF41" s="1148"/>
      <c r="DG41" s="1148"/>
      <c r="DH41" s="1148"/>
      <c r="DI41" s="1148"/>
      <c r="DJ41" s="1148"/>
      <c r="DK41" s="1148"/>
      <c r="DL41" s="1148"/>
      <c r="DM41" s="1148"/>
      <c r="DN41" s="1148"/>
      <c r="DO41" s="1148"/>
      <c r="DP41" s="1148"/>
      <c r="DQ41" s="1148"/>
      <c r="DR41" s="1148"/>
      <c r="DS41" s="1148"/>
      <c r="DT41" s="1148"/>
      <c r="DU41" s="1148"/>
      <c r="DV41" s="1148"/>
      <c r="DW41" s="1148"/>
      <c r="DX41" s="1148"/>
      <c r="DY41" s="1148"/>
      <c r="DZ41" s="1148"/>
      <c r="EA41" s="1148"/>
    </row>
    <row r="42" spans="1:131" s="1149" customFormat="1" ht="35.1" customHeight="1">
      <c r="A42" s="1569"/>
      <c r="B42" s="1228" t="s">
        <v>801</v>
      </c>
      <c r="C42" s="1572"/>
      <c r="D42" s="1229"/>
      <c r="E42" s="1230">
        <v>0</v>
      </c>
      <c r="F42" s="1230"/>
      <c r="G42" s="1231"/>
      <c r="H42" s="1231"/>
      <c r="I42" s="1232">
        <f t="shared" si="72"/>
        <v>0</v>
      </c>
      <c r="J42" s="1233">
        <v>0</v>
      </c>
      <c r="K42" s="1234">
        <v>0</v>
      </c>
      <c r="L42" s="1234">
        <f>51370+42880+43952+14249.6+152160</f>
        <v>304611.59999999998</v>
      </c>
      <c r="M42" s="1235">
        <f t="shared" si="73"/>
        <v>304611.59999999998</v>
      </c>
      <c r="N42" s="1233">
        <v>0</v>
      </c>
      <c r="O42" s="1234">
        <v>0</v>
      </c>
      <c r="P42" s="1234">
        <f>205480+171520+175808+56998.4+608640</f>
        <v>1218446.3999999999</v>
      </c>
      <c r="Q42" s="1235">
        <f t="shared" si="74"/>
        <v>1218446.3999999999</v>
      </c>
      <c r="R42" s="1233">
        <f t="shared" si="75"/>
        <v>0</v>
      </c>
      <c r="S42" s="1234">
        <f t="shared" si="71"/>
        <v>0</v>
      </c>
      <c r="T42" s="1234">
        <f t="shared" si="71"/>
        <v>1523058</v>
      </c>
      <c r="U42" s="1235">
        <f t="shared" si="76"/>
        <v>1523058</v>
      </c>
      <c r="V42" s="1150"/>
      <c r="W42" s="1150"/>
      <c r="X42" s="1148"/>
      <c r="Y42" s="1148"/>
      <c r="Z42" s="1148"/>
      <c r="AA42" s="1148"/>
      <c r="AB42" s="1148"/>
      <c r="AC42" s="1148"/>
      <c r="AD42" s="1148"/>
      <c r="AE42" s="1148"/>
      <c r="AF42" s="1148"/>
      <c r="AG42" s="1148"/>
      <c r="AH42" s="1148"/>
      <c r="AI42" s="1148"/>
      <c r="AJ42" s="1148"/>
      <c r="AK42" s="1148"/>
      <c r="AL42" s="1148"/>
      <c r="AM42" s="1148"/>
      <c r="AN42" s="1148"/>
      <c r="AO42" s="1148"/>
      <c r="AP42" s="1148"/>
      <c r="AQ42" s="1148"/>
      <c r="AR42" s="1148"/>
      <c r="AS42" s="1148"/>
      <c r="AT42" s="1148"/>
      <c r="AU42" s="1148"/>
      <c r="AV42" s="1148"/>
      <c r="AW42" s="1148"/>
      <c r="AX42" s="1148"/>
      <c r="AY42" s="1148"/>
      <c r="AZ42" s="1148"/>
      <c r="BA42" s="1148"/>
      <c r="BB42" s="1148"/>
      <c r="BC42" s="1148"/>
      <c r="BD42" s="1148"/>
      <c r="BE42" s="1148"/>
      <c r="BF42" s="1148"/>
      <c r="BG42" s="1148"/>
      <c r="BH42" s="1148"/>
      <c r="BI42" s="1148"/>
      <c r="BJ42" s="1148"/>
      <c r="BK42" s="1148"/>
      <c r="BL42" s="1148"/>
      <c r="BM42" s="1148"/>
      <c r="BN42" s="1148"/>
      <c r="BO42" s="1148"/>
      <c r="BP42" s="1148"/>
      <c r="BQ42" s="1148"/>
      <c r="BR42" s="1148"/>
      <c r="BS42" s="1148"/>
      <c r="BT42" s="1148"/>
      <c r="BU42" s="1148"/>
      <c r="BV42" s="1148"/>
      <c r="BW42" s="1148"/>
      <c r="BX42" s="1148"/>
      <c r="BY42" s="1148"/>
      <c r="BZ42" s="1148"/>
      <c r="CA42" s="1148"/>
      <c r="CB42" s="1148"/>
      <c r="CC42" s="1148"/>
      <c r="CD42" s="1148"/>
      <c r="CE42" s="1148"/>
      <c r="CF42" s="1148"/>
      <c r="CG42" s="1148"/>
      <c r="CH42" s="1148"/>
      <c r="CI42" s="1148"/>
      <c r="CJ42" s="1148"/>
      <c r="CK42" s="1148"/>
      <c r="CL42" s="1148"/>
      <c r="CM42" s="1148"/>
      <c r="CN42" s="1148"/>
      <c r="CO42" s="1148"/>
      <c r="CP42" s="1148"/>
      <c r="CQ42" s="1148"/>
      <c r="CR42" s="1148"/>
      <c r="CS42" s="1148"/>
      <c r="CT42" s="1148"/>
      <c r="CU42" s="1148"/>
      <c r="CV42" s="1148"/>
      <c r="CW42" s="1148"/>
      <c r="CX42" s="1148"/>
      <c r="CY42" s="1148"/>
      <c r="CZ42" s="1148"/>
      <c r="DA42" s="1148"/>
      <c r="DB42" s="1148"/>
      <c r="DC42" s="1148"/>
      <c r="DD42" s="1148"/>
      <c r="DE42" s="1148"/>
      <c r="DF42" s="1148"/>
      <c r="DG42" s="1148"/>
      <c r="DH42" s="1148"/>
      <c r="DI42" s="1148"/>
      <c r="DJ42" s="1148"/>
      <c r="DK42" s="1148"/>
      <c r="DL42" s="1148"/>
      <c r="DM42" s="1148"/>
      <c r="DN42" s="1148"/>
      <c r="DO42" s="1148"/>
      <c r="DP42" s="1148"/>
      <c r="DQ42" s="1148"/>
      <c r="DR42" s="1148"/>
      <c r="DS42" s="1148"/>
      <c r="DT42" s="1148"/>
      <c r="DU42" s="1148"/>
      <c r="DV42" s="1148"/>
      <c r="DW42" s="1148"/>
      <c r="DX42" s="1148"/>
      <c r="DY42" s="1148"/>
      <c r="DZ42" s="1148"/>
      <c r="EA42" s="1148"/>
    </row>
    <row r="43" spans="1:131" s="1149" customFormat="1" ht="35.1" customHeight="1" thickBot="1">
      <c r="A43" s="1570"/>
      <c r="B43" s="1236" t="s">
        <v>802</v>
      </c>
      <c r="C43" s="1573"/>
      <c r="D43" s="1237"/>
      <c r="E43" s="1238">
        <v>0</v>
      </c>
      <c r="F43" s="1238">
        <f>F40+F41+F42</f>
        <v>0</v>
      </c>
      <c r="G43" s="1239">
        <f t="shared" ref="G43:H43" si="77">G40+G41+G42</f>
        <v>0</v>
      </c>
      <c r="H43" s="1239">
        <f t="shared" si="77"/>
        <v>0</v>
      </c>
      <c r="I43" s="1240">
        <f t="shared" si="72"/>
        <v>0</v>
      </c>
      <c r="J43" s="1241">
        <f>J40+J41+J42</f>
        <v>0</v>
      </c>
      <c r="K43" s="1242">
        <f t="shared" ref="K43:L43" si="78">K40+K41+K42</f>
        <v>0</v>
      </c>
      <c r="L43" s="1242">
        <f t="shared" si="78"/>
        <v>304611.59999999998</v>
      </c>
      <c r="M43" s="1243">
        <f t="shared" si="73"/>
        <v>304611.59999999998</v>
      </c>
      <c r="N43" s="1241">
        <f>N40+N41+N42</f>
        <v>71642</v>
      </c>
      <c r="O43" s="1242">
        <f t="shared" ref="O43:P43" si="79">O40+O41+O42</f>
        <v>0</v>
      </c>
      <c r="P43" s="1242">
        <f t="shared" si="79"/>
        <v>1218446.3999999999</v>
      </c>
      <c r="Q43" s="1243">
        <f t="shared" si="74"/>
        <v>1290088.3999999999</v>
      </c>
      <c r="R43" s="1241">
        <f>R40+R41+R42</f>
        <v>71642</v>
      </c>
      <c r="S43" s="1242">
        <f t="shared" ref="S43:T43" si="80">S40+S41+S42</f>
        <v>0</v>
      </c>
      <c r="T43" s="1242">
        <f t="shared" si="80"/>
        <v>1523058</v>
      </c>
      <c r="U43" s="1243">
        <f t="shared" si="76"/>
        <v>1594700</v>
      </c>
      <c r="V43" s="1150"/>
      <c r="W43" s="1150"/>
      <c r="X43" s="1148"/>
      <c r="Y43" s="1148"/>
      <c r="Z43" s="1148"/>
      <c r="AA43" s="1148"/>
      <c r="AB43" s="1148"/>
      <c r="AC43" s="1148"/>
      <c r="AD43" s="1148"/>
      <c r="AE43" s="1148"/>
      <c r="AF43" s="1148"/>
      <c r="AG43" s="1148"/>
      <c r="AH43" s="1148"/>
      <c r="AI43" s="1148"/>
      <c r="AJ43" s="1148"/>
      <c r="AK43" s="1148"/>
      <c r="AL43" s="1148"/>
      <c r="AM43" s="1148"/>
      <c r="AN43" s="1148"/>
      <c r="AO43" s="1148"/>
      <c r="AP43" s="1148"/>
      <c r="AQ43" s="1148"/>
      <c r="AR43" s="1148"/>
      <c r="AS43" s="1148"/>
      <c r="AT43" s="1148"/>
      <c r="AU43" s="1148"/>
      <c r="AV43" s="1148"/>
      <c r="AW43" s="1148"/>
      <c r="AX43" s="1148"/>
      <c r="AY43" s="1148"/>
      <c r="AZ43" s="1148"/>
      <c r="BA43" s="1148"/>
      <c r="BB43" s="1148"/>
      <c r="BC43" s="1148"/>
      <c r="BD43" s="1148"/>
      <c r="BE43" s="1148"/>
      <c r="BF43" s="1148"/>
      <c r="BG43" s="1148"/>
      <c r="BH43" s="1148"/>
      <c r="BI43" s="1148"/>
      <c r="BJ43" s="1148"/>
      <c r="BK43" s="1148"/>
      <c r="BL43" s="1148"/>
      <c r="BM43" s="1148"/>
      <c r="BN43" s="1148"/>
      <c r="BO43" s="1148"/>
      <c r="BP43" s="1148"/>
      <c r="BQ43" s="1148"/>
      <c r="BR43" s="1148"/>
      <c r="BS43" s="1148"/>
      <c r="BT43" s="1148"/>
      <c r="BU43" s="1148"/>
      <c r="BV43" s="1148"/>
      <c r="BW43" s="1148"/>
      <c r="BX43" s="1148"/>
      <c r="BY43" s="1148"/>
      <c r="BZ43" s="1148"/>
      <c r="CA43" s="1148"/>
      <c r="CB43" s="1148"/>
      <c r="CC43" s="1148"/>
      <c r="CD43" s="1148"/>
      <c r="CE43" s="1148"/>
      <c r="CF43" s="1148"/>
      <c r="CG43" s="1148"/>
      <c r="CH43" s="1148"/>
      <c r="CI43" s="1148"/>
      <c r="CJ43" s="1148"/>
      <c r="CK43" s="1148"/>
      <c r="CL43" s="1148"/>
      <c r="CM43" s="1148"/>
      <c r="CN43" s="1148"/>
      <c r="CO43" s="1148"/>
      <c r="CP43" s="1148"/>
      <c r="CQ43" s="1148"/>
      <c r="CR43" s="1148"/>
      <c r="CS43" s="1148"/>
      <c r="CT43" s="1148"/>
      <c r="CU43" s="1148"/>
      <c r="CV43" s="1148"/>
      <c r="CW43" s="1148"/>
      <c r="CX43" s="1148"/>
      <c r="CY43" s="1148"/>
      <c r="CZ43" s="1148"/>
      <c r="DA43" s="1148"/>
      <c r="DB43" s="1148"/>
      <c r="DC43" s="1148"/>
      <c r="DD43" s="1148"/>
      <c r="DE43" s="1148"/>
      <c r="DF43" s="1148"/>
      <c r="DG43" s="1148"/>
      <c r="DH43" s="1148"/>
      <c r="DI43" s="1148"/>
      <c r="DJ43" s="1148"/>
      <c r="DK43" s="1148"/>
      <c r="DL43" s="1148"/>
      <c r="DM43" s="1148"/>
      <c r="DN43" s="1148"/>
      <c r="DO43" s="1148"/>
      <c r="DP43" s="1148"/>
      <c r="DQ43" s="1148"/>
      <c r="DR43" s="1148"/>
      <c r="DS43" s="1148"/>
      <c r="DT43" s="1148"/>
      <c r="DU43" s="1148"/>
      <c r="DV43" s="1148"/>
      <c r="DW43" s="1148"/>
      <c r="DX43" s="1148"/>
      <c r="DY43" s="1148"/>
      <c r="DZ43" s="1148"/>
      <c r="EA43" s="1148"/>
    </row>
    <row r="44" spans="1:131" s="1149" customFormat="1" ht="35.1" customHeight="1">
      <c r="A44" s="1568" t="s">
        <v>824</v>
      </c>
      <c r="B44" s="1220" t="s">
        <v>52</v>
      </c>
      <c r="C44" s="1571">
        <v>10400</v>
      </c>
      <c r="D44" s="1221">
        <f t="shared" si="1"/>
        <v>184340.60488058152</v>
      </c>
      <c r="E44" s="1222">
        <v>0</v>
      </c>
      <c r="F44" s="1222">
        <v>0.32100000000000001</v>
      </c>
      <c r="G44" s="1223"/>
      <c r="H44" s="1223">
        <v>0</v>
      </c>
      <c r="I44" s="1224">
        <f>F44+G44+H44</f>
        <v>0.32100000000000001</v>
      </c>
      <c r="J44" s="1225">
        <v>135909.29999999999</v>
      </c>
      <c r="K44" s="1226">
        <v>0</v>
      </c>
      <c r="L44" s="1226">
        <v>0</v>
      </c>
      <c r="M44" s="1227">
        <f>J44+K44+L44</f>
        <v>135909.29999999999</v>
      </c>
      <c r="N44" s="1225">
        <v>574170.71</v>
      </c>
      <c r="O44" s="1226">
        <v>0</v>
      </c>
      <c r="P44" s="1226">
        <v>0</v>
      </c>
      <c r="Q44" s="1227">
        <f>N44+O44+P44</f>
        <v>574170.71</v>
      </c>
      <c r="R44" s="1225">
        <f>J44+N44</f>
        <v>710080.01</v>
      </c>
      <c r="S44" s="1226">
        <f t="shared" ref="S44:T46" si="81">K44+O44</f>
        <v>0</v>
      </c>
      <c r="T44" s="1226">
        <f t="shared" si="81"/>
        <v>0</v>
      </c>
      <c r="U44" s="1227">
        <f>R44+S44+T44</f>
        <v>710080.01</v>
      </c>
      <c r="V44" s="1150"/>
      <c r="W44" s="1150"/>
      <c r="X44" s="1148"/>
      <c r="Y44" s="1148"/>
      <c r="Z44" s="1148"/>
      <c r="AA44" s="1148"/>
      <c r="AB44" s="1148"/>
      <c r="AC44" s="1148"/>
      <c r="AD44" s="1148"/>
      <c r="AE44" s="1148"/>
      <c r="AF44" s="1148"/>
      <c r="AG44" s="1148"/>
      <c r="AH44" s="1148"/>
      <c r="AI44" s="1148"/>
      <c r="AJ44" s="1148"/>
      <c r="AK44" s="1148"/>
      <c r="AL44" s="1148"/>
      <c r="AM44" s="1148"/>
      <c r="AN44" s="1148"/>
      <c r="AO44" s="1148"/>
      <c r="AP44" s="1148"/>
      <c r="AQ44" s="1148"/>
      <c r="AR44" s="1148"/>
      <c r="AS44" s="1148"/>
      <c r="AT44" s="1148"/>
      <c r="AU44" s="1148"/>
      <c r="AV44" s="1148"/>
      <c r="AW44" s="1148"/>
      <c r="AX44" s="1148"/>
      <c r="AY44" s="1148"/>
      <c r="AZ44" s="1148"/>
      <c r="BA44" s="1148"/>
      <c r="BB44" s="1148"/>
      <c r="BC44" s="1148"/>
      <c r="BD44" s="1148"/>
      <c r="BE44" s="1148"/>
      <c r="BF44" s="1148"/>
      <c r="BG44" s="1148"/>
      <c r="BH44" s="1148"/>
      <c r="BI44" s="1148"/>
      <c r="BJ44" s="1148"/>
      <c r="BK44" s="1148"/>
      <c r="BL44" s="1148"/>
      <c r="BM44" s="1148"/>
      <c r="BN44" s="1148"/>
      <c r="BO44" s="1148"/>
      <c r="BP44" s="1148"/>
      <c r="BQ44" s="1148"/>
      <c r="BR44" s="1148"/>
      <c r="BS44" s="1148"/>
      <c r="BT44" s="1148"/>
      <c r="BU44" s="1148"/>
      <c r="BV44" s="1148"/>
      <c r="BW44" s="1148"/>
      <c r="BX44" s="1148"/>
      <c r="BY44" s="1148"/>
      <c r="BZ44" s="1148"/>
      <c r="CA44" s="1148"/>
      <c r="CB44" s="1148"/>
      <c r="CC44" s="1148"/>
      <c r="CD44" s="1148"/>
      <c r="CE44" s="1148"/>
      <c r="CF44" s="1148"/>
      <c r="CG44" s="1148"/>
      <c r="CH44" s="1148"/>
      <c r="CI44" s="1148"/>
      <c r="CJ44" s="1148"/>
      <c r="CK44" s="1148"/>
      <c r="CL44" s="1148"/>
      <c r="CM44" s="1148"/>
      <c r="CN44" s="1148"/>
      <c r="CO44" s="1148"/>
      <c r="CP44" s="1148"/>
      <c r="CQ44" s="1148"/>
      <c r="CR44" s="1148"/>
      <c r="CS44" s="1148"/>
      <c r="CT44" s="1148"/>
      <c r="CU44" s="1148"/>
      <c r="CV44" s="1148"/>
      <c r="CW44" s="1148"/>
      <c r="CX44" s="1148"/>
      <c r="CY44" s="1148"/>
      <c r="CZ44" s="1148"/>
      <c r="DA44" s="1148"/>
      <c r="DB44" s="1148"/>
      <c r="DC44" s="1148"/>
      <c r="DD44" s="1148"/>
      <c r="DE44" s="1148"/>
      <c r="DF44" s="1148"/>
      <c r="DG44" s="1148"/>
      <c r="DH44" s="1148"/>
      <c r="DI44" s="1148"/>
      <c r="DJ44" s="1148"/>
      <c r="DK44" s="1148"/>
      <c r="DL44" s="1148"/>
      <c r="DM44" s="1148"/>
      <c r="DN44" s="1148"/>
      <c r="DO44" s="1148"/>
      <c r="DP44" s="1148"/>
      <c r="DQ44" s="1148"/>
      <c r="DR44" s="1148"/>
      <c r="DS44" s="1148"/>
      <c r="DT44" s="1148"/>
      <c r="DU44" s="1148"/>
      <c r="DV44" s="1148"/>
      <c r="DW44" s="1148"/>
      <c r="DX44" s="1148"/>
      <c r="DY44" s="1148"/>
      <c r="DZ44" s="1148"/>
      <c r="EA44" s="1148"/>
    </row>
    <row r="45" spans="1:131" s="1149" customFormat="1" ht="35.1" customHeight="1">
      <c r="A45" s="1569"/>
      <c r="B45" s="1228" t="s">
        <v>800</v>
      </c>
      <c r="C45" s="1572"/>
      <c r="D45" s="1229">
        <f t="shared" si="1"/>
        <v>0</v>
      </c>
      <c r="E45" s="1230">
        <v>0</v>
      </c>
      <c r="F45" s="1230">
        <v>7.0999999999999994E-2</v>
      </c>
      <c r="G45" s="1231"/>
      <c r="H45" s="1231">
        <v>0.29799999999999999</v>
      </c>
      <c r="I45" s="1232">
        <f t="shared" ref="I45:I47" si="82">F45+G45+H45</f>
        <v>0.36899999999999999</v>
      </c>
      <c r="J45" s="1233"/>
      <c r="K45" s="1234">
        <v>0</v>
      </c>
      <c r="L45" s="1234">
        <v>0</v>
      </c>
      <c r="M45" s="1235">
        <f t="shared" ref="M45:M47" si="83">J45+K45+L45</f>
        <v>0</v>
      </c>
      <c r="N45" s="1233"/>
      <c r="O45" s="1234">
        <v>0</v>
      </c>
      <c r="P45" s="1234">
        <v>0</v>
      </c>
      <c r="Q45" s="1235">
        <f t="shared" ref="Q45:Q47" si="84">N45+O45+P45</f>
        <v>0</v>
      </c>
      <c r="R45" s="1233">
        <f t="shared" ref="R45:R46" si="85">J45+N45</f>
        <v>0</v>
      </c>
      <c r="S45" s="1234">
        <f t="shared" si="81"/>
        <v>0</v>
      </c>
      <c r="T45" s="1234">
        <f t="shared" si="81"/>
        <v>0</v>
      </c>
      <c r="U45" s="1235">
        <f t="shared" ref="U45:U47" si="86">R45+S45+T45</f>
        <v>0</v>
      </c>
      <c r="V45" s="1150"/>
      <c r="W45" s="1150"/>
      <c r="X45" s="1148"/>
      <c r="Y45" s="1148"/>
      <c r="Z45" s="1148"/>
      <c r="AA45" s="1148"/>
      <c r="AB45" s="1148"/>
      <c r="AC45" s="1148"/>
      <c r="AD45" s="1148"/>
      <c r="AE45" s="1148"/>
      <c r="AF45" s="1148"/>
      <c r="AG45" s="1148"/>
      <c r="AH45" s="1148"/>
      <c r="AI45" s="1148"/>
      <c r="AJ45" s="1148"/>
      <c r="AK45" s="1148"/>
      <c r="AL45" s="1148"/>
      <c r="AM45" s="1148"/>
      <c r="AN45" s="1148"/>
      <c r="AO45" s="1148"/>
      <c r="AP45" s="1148"/>
      <c r="AQ45" s="1148"/>
      <c r="AR45" s="1148"/>
      <c r="AS45" s="1148"/>
      <c r="AT45" s="1148"/>
      <c r="AU45" s="1148"/>
      <c r="AV45" s="1148"/>
      <c r="AW45" s="1148"/>
      <c r="AX45" s="1148"/>
      <c r="AY45" s="1148"/>
      <c r="AZ45" s="1148"/>
      <c r="BA45" s="1148"/>
      <c r="BB45" s="1148"/>
      <c r="BC45" s="1148"/>
      <c r="BD45" s="1148"/>
      <c r="BE45" s="1148"/>
      <c r="BF45" s="1148"/>
      <c r="BG45" s="1148"/>
      <c r="BH45" s="1148"/>
      <c r="BI45" s="1148"/>
      <c r="BJ45" s="1148"/>
      <c r="BK45" s="1148"/>
      <c r="BL45" s="1148"/>
      <c r="BM45" s="1148"/>
      <c r="BN45" s="1148"/>
      <c r="BO45" s="1148"/>
      <c r="BP45" s="1148"/>
      <c r="BQ45" s="1148"/>
      <c r="BR45" s="1148"/>
      <c r="BS45" s="1148"/>
      <c r="BT45" s="1148"/>
      <c r="BU45" s="1148"/>
      <c r="BV45" s="1148"/>
      <c r="BW45" s="1148"/>
      <c r="BX45" s="1148"/>
      <c r="BY45" s="1148"/>
      <c r="BZ45" s="1148"/>
      <c r="CA45" s="1148"/>
      <c r="CB45" s="1148"/>
      <c r="CC45" s="1148"/>
      <c r="CD45" s="1148"/>
      <c r="CE45" s="1148"/>
      <c r="CF45" s="1148"/>
      <c r="CG45" s="1148"/>
      <c r="CH45" s="1148"/>
      <c r="CI45" s="1148"/>
      <c r="CJ45" s="1148"/>
      <c r="CK45" s="1148"/>
      <c r="CL45" s="1148"/>
      <c r="CM45" s="1148"/>
      <c r="CN45" s="1148"/>
      <c r="CO45" s="1148"/>
      <c r="CP45" s="1148"/>
      <c r="CQ45" s="1148"/>
      <c r="CR45" s="1148"/>
      <c r="CS45" s="1148"/>
      <c r="CT45" s="1148"/>
      <c r="CU45" s="1148"/>
      <c r="CV45" s="1148"/>
      <c r="CW45" s="1148"/>
      <c r="CX45" s="1148"/>
      <c r="CY45" s="1148"/>
      <c r="CZ45" s="1148"/>
      <c r="DA45" s="1148"/>
      <c r="DB45" s="1148"/>
      <c r="DC45" s="1148"/>
      <c r="DD45" s="1148"/>
      <c r="DE45" s="1148"/>
      <c r="DF45" s="1148"/>
      <c r="DG45" s="1148"/>
      <c r="DH45" s="1148"/>
      <c r="DI45" s="1148"/>
      <c r="DJ45" s="1148"/>
      <c r="DK45" s="1148"/>
      <c r="DL45" s="1148"/>
      <c r="DM45" s="1148"/>
      <c r="DN45" s="1148"/>
      <c r="DO45" s="1148"/>
      <c r="DP45" s="1148"/>
      <c r="DQ45" s="1148"/>
      <c r="DR45" s="1148"/>
      <c r="DS45" s="1148"/>
      <c r="DT45" s="1148"/>
      <c r="DU45" s="1148"/>
      <c r="DV45" s="1148"/>
      <c r="DW45" s="1148"/>
      <c r="DX45" s="1148"/>
      <c r="DY45" s="1148"/>
      <c r="DZ45" s="1148"/>
      <c r="EA45" s="1148"/>
    </row>
    <row r="46" spans="1:131" s="1149" customFormat="1" ht="35.1" customHeight="1">
      <c r="A46" s="1569"/>
      <c r="B46" s="1228" t="s">
        <v>801</v>
      </c>
      <c r="C46" s="1572"/>
      <c r="D46" s="1229"/>
      <c r="E46" s="1230">
        <v>0</v>
      </c>
      <c r="F46" s="1230"/>
      <c r="G46" s="1231"/>
      <c r="H46" s="1231"/>
      <c r="I46" s="1232">
        <f t="shared" si="82"/>
        <v>0</v>
      </c>
      <c r="J46" s="1233">
        <v>0</v>
      </c>
      <c r="K46" s="1234">
        <v>0</v>
      </c>
      <c r="L46" s="1234">
        <v>0</v>
      </c>
      <c r="M46" s="1235">
        <f t="shared" si="83"/>
        <v>0</v>
      </c>
      <c r="N46" s="1233">
        <v>0</v>
      </c>
      <c r="O46" s="1234">
        <v>0</v>
      </c>
      <c r="P46" s="1234">
        <v>0</v>
      </c>
      <c r="Q46" s="1235">
        <f t="shared" si="84"/>
        <v>0</v>
      </c>
      <c r="R46" s="1233">
        <f t="shared" si="85"/>
        <v>0</v>
      </c>
      <c r="S46" s="1234">
        <f t="shared" si="81"/>
        <v>0</v>
      </c>
      <c r="T46" s="1234">
        <f t="shared" si="81"/>
        <v>0</v>
      </c>
      <c r="U46" s="1235">
        <f t="shared" si="86"/>
        <v>0</v>
      </c>
      <c r="V46" s="1150"/>
      <c r="W46" s="1150"/>
      <c r="X46" s="1148"/>
      <c r="Y46" s="1148"/>
      <c r="Z46" s="1148"/>
      <c r="AA46" s="1148"/>
      <c r="AB46" s="1148"/>
      <c r="AC46" s="1148"/>
      <c r="AD46" s="1148"/>
      <c r="AE46" s="1148"/>
      <c r="AF46" s="1148"/>
      <c r="AG46" s="1148"/>
      <c r="AH46" s="1148"/>
      <c r="AI46" s="1148"/>
      <c r="AJ46" s="1148"/>
      <c r="AK46" s="1148"/>
      <c r="AL46" s="1148"/>
      <c r="AM46" s="1148"/>
      <c r="AN46" s="1148"/>
      <c r="AO46" s="1148"/>
      <c r="AP46" s="1148"/>
      <c r="AQ46" s="1148"/>
      <c r="AR46" s="1148"/>
      <c r="AS46" s="1148"/>
      <c r="AT46" s="1148"/>
      <c r="AU46" s="1148"/>
      <c r="AV46" s="1148"/>
      <c r="AW46" s="1148"/>
      <c r="AX46" s="1148"/>
      <c r="AY46" s="1148"/>
      <c r="AZ46" s="1148"/>
      <c r="BA46" s="1148"/>
      <c r="BB46" s="1148"/>
      <c r="BC46" s="1148"/>
      <c r="BD46" s="1148"/>
      <c r="BE46" s="1148"/>
      <c r="BF46" s="1148"/>
      <c r="BG46" s="1148"/>
      <c r="BH46" s="1148"/>
      <c r="BI46" s="1148"/>
      <c r="BJ46" s="1148"/>
      <c r="BK46" s="1148"/>
      <c r="BL46" s="1148"/>
      <c r="BM46" s="1148"/>
      <c r="BN46" s="1148"/>
      <c r="BO46" s="1148"/>
      <c r="BP46" s="1148"/>
      <c r="BQ46" s="1148"/>
      <c r="BR46" s="1148"/>
      <c r="BS46" s="1148"/>
      <c r="BT46" s="1148"/>
      <c r="BU46" s="1148"/>
      <c r="BV46" s="1148"/>
      <c r="BW46" s="1148"/>
      <c r="BX46" s="1148"/>
      <c r="BY46" s="1148"/>
      <c r="BZ46" s="1148"/>
      <c r="CA46" s="1148"/>
      <c r="CB46" s="1148"/>
      <c r="CC46" s="1148"/>
      <c r="CD46" s="1148"/>
      <c r="CE46" s="1148"/>
      <c r="CF46" s="1148"/>
      <c r="CG46" s="1148"/>
      <c r="CH46" s="1148"/>
      <c r="CI46" s="1148"/>
      <c r="CJ46" s="1148"/>
      <c r="CK46" s="1148"/>
      <c r="CL46" s="1148"/>
      <c r="CM46" s="1148"/>
      <c r="CN46" s="1148"/>
      <c r="CO46" s="1148"/>
      <c r="CP46" s="1148"/>
      <c r="CQ46" s="1148"/>
      <c r="CR46" s="1148"/>
      <c r="CS46" s="1148"/>
      <c r="CT46" s="1148"/>
      <c r="CU46" s="1148"/>
      <c r="CV46" s="1148"/>
      <c r="CW46" s="1148"/>
      <c r="CX46" s="1148"/>
      <c r="CY46" s="1148"/>
      <c r="CZ46" s="1148"/>
      <c r="DA46" s="1148"/>
      <c r="DB46" s="1148"/>
      <c r="DC46" s="1148"/>
      <c r="DD46" s="1148"/>
      <c r="DE46" s="1148"/>
      <c r="DF46" s="1148"/>
      <c r="DG46" s="1148"/>
      <c r="DH46" s="1148"/>
      <c r="DI46" s="1148"/>
      <c r="DJ46" s="1148"/>
      <c r="DK46" s="1148"/>
      <c r="DL46" s="1148"/>
      <c r="DM46" s="1148"/>
      <c r="DN46" s="1148"/>
      <c r="DO46" s="1148"/>
      <c r="DP46" s="1148"/>
      <c r="DQ46" s="1148"/>
      <c r="DR46" s="1148"/>
      <c r="DS46" s="1148"/>
      <c r="DT46" s="1148"/>
      <c r="DU46" s="1148"/>
      <c r="DV46" s="1148"/>
      <c r="DW46" s="1148"/>
      <c r="DX46" s="1148"/>
      <c r="DY46" s="1148"/>
      <c r="DZ46" s="1148"/>
      <c r="EA46" s="1148"/>
    </row>
    <row r="47" spans="1:131" s="1149" customFormat="1" ht="35.1" customHeight="1" thickBot="1">
      <c r="A47" s="1570"/>
      <c r="B47" s="1236" t="s">
        <v>802</v>
      </c>
      <c r="C47" s="1573"/>
      <c r="D47" s="1237">
        <f t="shared" si="1"/>
        <v>85758.455314009669</v>
      </c>
      <c r="E47" s="1238">
        <v>0</v>
      </c>
      <c r="F47" s="1238">
        <f>F44+F45+F46</f>
        <v>0.39200000000000002</v>
      </c>
      <c r="G47" s="1239">
        <f t="shared" ref="G47:H47" si="87">G44+G45+G46</f>
        <v>0</v>
      </c>
      <c r="H47" s="1239">
        <f t="shared" si="87"/>
        <v>0.29799999999999999</v>
      </c>
      <c r="I47" s="1240">
        <f t="shared" si="82"/>
        <v>0.69</v>
      </c>
      <c r="J47" s="1241">
        <f>J44+J45+J46</f>
        <v>135909.29999999999</v>
      </c>
      <c r="K47" s="1242">
        <f t="shared" ref="K47:L47" si="88">K44+K45+K46</f>
        <v>0</v>
      </c>
      <c r="L47" s="1242">
        <f t="shared" si="88"/>
        <v>0</v>
      </c>
      <c r="M47" s="1243">
        <f t="shared" si="83"/>
        <v>135909.29999999999</v>
      </c>
      <c r="N47" s="1241">
        <f>N44+N45+N46</f>
        <v>574170.71</v>
      </c>
      <c r="O47" s="1242">
        <f t="shared" ref="O47:P47" si="89">O44+O45+O46</f>
        <v>0</v>
      </c>
      <c r="P47" s="1242">
        <f t="shared" si="89"/>
        <v>0</v>
      </c>
      <c r="Q47" s="1243">
        <f t="shared" si="84"/>
        <v>574170.71</v>
      </c>
      <c r="R47" s="1241">
        <f>R44+R45+R46</f>
        <v>710080.01</v>
      </c>
      <c r="S47" s="1242">
        <f t="shared" ref="S47:T47" si="90">S44+S45+S46</f>
        <v>0</v>
      </c>
      <c r="T47" s="1242">
        <f t="shared" si="90"/>
        <v>0</v>
      </c>
      <c r="U47" s="1243">
        <f t="shared" si="86"/>
        <v>710080.01</v>
      </c>
      <c r="V47" s="1150"/>
      <c r="W47" s="1150"/>
      <c r="X47" s="1148"/>
      <c r="Y47" s="1148"/>
      <c r="Z47" s="1148"/>
      <c r="AA47" s="1148"/>
      <c r="AB47" s="1148"/>
      <c r="AC47" s="1148"/>
      <c r="AD47" s="1148"/>
      <c r="AE47" s="1148"/>
      <c r="AF47" s="1148"/>
      <c r="AG47" s="1148"/>
      <c r="AH47" s="1148"/>
      <c r="AI47" s="1148"/>
      <c r="AJ47" s="1148"/>
      <c r="AK47" s="1148"/>
      <c r="AL47" s="1148"/>
      <c r="AM47" s="1148"/>
      <c r="AN47" s="1148"/>
      <c r="AO47" s="1148"/>
      <c r="AP47" s="1148"/>
      <c r="AQ47" s="1148"/>
      <c r="AR47" s="1148"/>
      <c r="AS47" s="1148"/>
      <c r="AT47" s="1148"/>
      <c r="AU47" s="1148"/>
      <c r="AV47" s="1148"/>
      <c r="AW47" s="1148"/>
      <c r="AX47" s="1148"/>
      <c r="AY47" s="1148"/>
      <c r="AZ47" s="1148"/>
      <c r="BA47" s="1148"/>
      <c r="BB47" s="1148"/>
      <c r="BC47" s="1148"/>
      <c r="BD47" s="1148"/>
      <c r="BE47" s="1148"/>
      <c r="BF47" s="1148"/>
      <c r="BG47" s="1148"/>
      <c r="BH47" s="1148"/>
      <c r="BI47" s="1148"/>
      <c r="BJ47" s="1148"/>
      <c r="BK47" s="1148"/>
      <c r="BL47" s="1148"/>
      <c r="BM47" s="1148"/>
      <c r="BN47" s="1148"/>
      <c r="BO47" s="1148"/>
      <c r="BP47" s="1148"/>
      <c r="BQ47" s="1148"/>
      <c r="BR47" s="1148"/>
      <c r="BS47" s="1148"/>
      <c r="BT47" s="1148"/>
      <c r="BU47" s="1148"/>
      <c r="BV47" s="1148"/>
      <c r="BW47" s="1148"/>
      <c r="BX47" s="1148"/>
      <c r="BY47" s="1148"/>
      <c r="BZ47" s="1148"/>
      <c r="CA47" s="1148"/>
      <c r="CB47" s="1148"/>
      <c r="CC47" s="1148"/>
      <c r="CD47" s="1148"/>
      <c r="CE47" s="1148"/>
      <c r="CF47" s="1148"/>
      <c r="CG47" s="1148"/>
      <c r="CH47" s="1148"/>
      <c r="CI47" s="1148"/>
      <c r="CJ47" s="1148"/>
      <c r="CK47" s="1148"/>
      <c r="CL47" s="1148"/>
      <c r="CM47" s="1148"/>
      <c r="CN47" s="1148"/>
      <c r="CO47" s="1148"/>
      <c r="CP47" s="1148"/>
      <c r="CQ47" s="1148"/>
      <c r="CR47" s="1148"/>
      <c r="CS47" s="1148"/>
      <c r="CT47" s="1148"/>
      <c r="CU47" s="1148"/>
      <c r="CV47" s="1148"/>
      <c r="CW47" s="1148"/>
      <c r="CX47" s="1148"/>
      <c r="CY47" s="1148"/>
      <c r="CZ47" s="1148"/>
      <c r="DA47" s="1148"/>
      <c r="DB47" s="1148"/>
      <c r="DC47" s="1148"/>
      <c r="DD47" s="1148"/>
      <c r="DE47" s="1148"/>
      <c r="DF47" s="1148"/>
      <c r="DG47" s="1148"/>
      <c r="DH47" s="1148"/>
      <c r="DI47" s="1148"/>
      <c r="DJ47" s="1148"/>
      <c r="DK47" s="1148"/>
      <c r="DL47" s="1148"/>
      <c r="DM47" s="1148"/>
      <c r="DN47" s="1148"/>
      <c r="DO47" s="1148"/>
      <c r="DP47" s="1148"/>
      <c r="DQ47" s="1148"/>
      <c r="DR47" s="1148"/>
      <c r="DS47" s="1148"/>
      <c r="DT47" s="1148"/>
      <c r="DU47" s="1148"/>
      <c r="DV47" s="1148"/>
      <c r="DW47" s="1148"/>
      <c r="DX47" s="1148"/>
      <c r="DY47" s="1148"/>
      <c r="DZ47" s="1148"/>
      <c r="EA47" s="1148"/>
    </row>
    <row r="48" spans="1:131" s="1149" customFormat="1" ht="35.1" customHeight="1">
      <c r="A48" s="1568" t="s">
        <v>824</v>
      </c>
      <c r="B48" s="1220" t="s">
        <v>52</v>
      </c>
      <c r="C48" s="1571">
        <v>10401</v>
      </c>
      <c r="D48" s="1221">
        <f t="shared" si="1"/>
        <v>4656.4747375328088</v>
      </c>
      <c r="E48" s="1222">
        <v>0</v>
      </c>
      <c r="F48" s="1222">
        <v>4.2000000000000003E-2</v>
      </c>
      <c r="G48" s="1223"/>
      <c r="H48" s="1223">
        <v>1.482</v>
      </c>
      <c r="I48" s="1224">
        <f>F48+G48+H48</f>
        <v>1.524</v>
      </c>
      <c r="J48" s="1225">
        <v>16299.16</v>
      </c>
      <c r="K48" s="1226">
        <v>0</v>
      </c>
      <c r="L48" s="1226">
        <v>0</v>
      </c>
      <c r="M48" s="1227">
        <f>J48+K48+L48</f>
        <v>16299.16</v>
      </c>
      <c r="N48" s="1225">
        <v>68858.45</v>
      </c>
      <c r="O48" s="1226">
        <v>0</v>
      </c>
      <c r="P48" s="1226">
        <v>0</v>
      </c>
      <c r="Q48" s="1227">
        <f>N48+O48+P48</f>
        <v>68858.45</v>
      </c>
      <c r="R48" s="1225">
        <f>J48+N48</f>
        <v>85157.61</v>
      </c>
      <c r="S48" s="1226">
        <f t="shared" ref="S48:T50" si="91">K48+O48</f>
        <v>0</v>
      </c>
      <c r="T48" s="1226">
        <f t="shared" si="91"/>
        <v>0</v>
      </c>
      <c r="U48" s="1227">
        <f>R48+S48+T48</f>
        <v>85157.61</v>
      </c>
      <c r="V48" s="1150"/>
      <c r="W48" s="1150"/>
      <c r="X48" s="1148"/>
      <c r="Y48" s="1148"/>
      <c r="Z48" s="1148"/>
      <c r="AA48" s="1148"/>
      <c r="AB48" s="1148"/>
      <c r="AC48" s="1148"/>
      <c r="AD48" s="1148"/>
      <c r="AE48" s="1148"/>
      <c r="AF48" s="1148"/>
      <c r="AG48" s="1148"/>
      <c r="AH48" s="1148"/>
      <c r="AI48" s="1148"/>
      <c r="AJ48" s="1148"/>
      <c r="AK48" s="1148"/>
      <c r="AL48" s="1148"/>
      <c r="AM48" s="1148"/>
      <c r="AN48" s="1148"/>
      <c r="AO48" s="1148"/>
      <c r="AP48" s="1148"/>
      <c r="AQ48" s="1148"/>
      <c r="AR48" s="1148"/>
      <c r="AS48" s="1148"/>
      <c r="AT48" s="1148"/>
      <c r="AU48" s="1148"/>
      <c r="AV48" s="1148"/>
      <c r="AW48" s="1148"/>
      <c r="AX48" s="1148"/>
      <c r="AY48" s="1148"/>
      <c r="AZ48" s="1148"/>
      <c r="BA48" s="1148"/>
      <c r="BB48" s="1148"/>
      <c r="BC48" s="1148"/>
      <c r="BD48" s="1148"/>
      <c r="BE48" s="1148"/>
      <c r="BF48" s="1148"/>
      <c r="BG48" s="1148"/>
      <c r="BH48" s="1148"/>
      <c r="BI48" s="1148"/>
      <c r="BJ48" s="1148"/>
      <c r="BK48" s="1148"/>
      <c r="BL48" s="1148"/>
      <c r="BM48" s="1148"/>
      <c r="BN48" s="1148"/>
      <c r="BO48" s="1148"/>
      <c r="BP48" s="1148"/>
      <c r="BQ48" s="1148"/>
      <c r="BR48" s="1148"/>
      <c r="BS48" s="1148"/>
      <c r="BT48" s="1148"/>
      <c r="BU48" s="1148"/>
      <c r="BV48" s="1148"/>
      <c r="BW48" s="1148"/>
      <c r="BX48" s="1148"/>
      <c r="BY48" s="1148"/>
      <c r="BZ48" s="1148"/>
      <c r="CA48" s="1148"/>
      <c r="CB48" s="1148"/>
      <c r="CC48" s="1148"/>
      <c r="CD48" s="1148"/>
      <c r="CE48" s="1148"/>
      <c r="CF48" s="1148"/>
      <c r="CG48" s="1148"/>
      <c r="CH48" s="1148"/>
      <c r="CI48" s="1148"/>
      <c r="CJ48" s="1148"/>
      <c r="CK48" s="1148"/>
      <c r="CL48" s="1148"/>
      <c r="CM48" s="1148"/>
      <c r="CN48" s="1148"/>
      <c r="CO48" s="1148"/>
      <c r="CP48" s="1148"/>
      <c r="CQ48" s="1148"/>
      <c r="CR48" s="1148"/>
      <c r="CS48" s="1148"/>
      <c r="CT48" s="1148"/>
      <c r="CU48" s="1148"/>
      <c r="CV48" s="1148"/>
      <c r="CW48" s="1148"/>
      <c r="CX48" s="1148"/>
      <c r="CY48" s="1148"/>
      <c r="CZ48" s="1148"/>
      <c r="DA48" s="1148"/>
      <c r="DB48" s="1148"/>
      <c r="DC48" s="1148"/>
      <c r="DD48" s="1148"/>
      <c r="DE48" s="1148"/>
      <c r="DF48" s="1148"/>
      <c r="DG48" s="1148"/>
      <c r="DH48" s="1148"/>
      <c r="DI48" s="1148"/>
      <c r="DJ48" s="1148"/>
      <c r="DK48" s="1148"/>
      <c r="DL48" s="1148"/>
      <c r="DM48" s="1148"/>
      <c r="DN48" s="1148"/>
      <c r="DO48" s="1148"/>
      <c r="DP48" s="1148"/>
      <c r="DQ48" s="1148"/>
      <c r="DR48" s="1148"/>
      <c r="DS48" s="1148"/>
      <c r="DT48" s="1148"/>
      <c r="DU48" s="1148"/>
      <c r="DV48" s="1148"/>
      <c r="DW48" s="1148"/>
      <c r="DX48" s="1148"/>
      <c r="DY48" s="1148"/>
      <c r="DZ48" s="1148"/>
      <c r="EA48" s="1148"/>
    </row>
    <row r="49" spans="1:131" s="1149" customFormat="1" ht="35.1" customHeight="1">
      <c r="A49" s="1569"/>
      <c r="B49" s="1228" t="s">
        <v>800</v>
      </c>
      <c r="C49" s="1572"/>
      <c r="D49" s="1229">
        <f t="shared" si="1"/>
        <v>0</v>
      </c>
      <c r="E49" s="1230">
        <v>0</v>
      </c>
      <c r="F49" s="1230">
        <v>4.0000000000000001E-3</v>
      </c>
      <c r="G49" s="1231"/>
      <c r="H49" s="1231">
        <v>1.7999999999999999E-2</v>
      </c>
      <c r="I49" s="1232">
        <f t="shared" ref="I49:I51" si="92">F49+G49+H49</f>
        <v>2.1999999999999999E-2</v>
      </c>
      <c r="J49" s="1233"/>
      <c r="K49" s="1234">
        <v>0</v>
      </c>
      <c r="L49" s="1234">
        <v>0</v>
      </c>
      <c r="M49" s="1235">
        <f t="shared" ref="M49:M51" si="93">J49+K49+L49</f>
        <v>0</v>
      </c>
      <c r="N49" s="1233"/>
      <c r="O49" s="1234">
        <v>0</v>
      </c>
      <c r="P49" s="1234">
        <v>0</v>
      </c>
      <c r="Q49" s="1235">
        <f t="shared" ref="Q49:Q51" si="94">N49+O49+P49</f>
        <v>0</v>
      </c>
      <c r="R49" s="1233">
        <f t="shared" ref="R49:R50" si="95">J49+N49</f>
        <v>0</v>
      </c>
      <c r="S49" s="1234">
        <f t="shared" si="91"/>
        <v>0</v>
      </c>
      <c r="T49" s="1234">
        <f t="shared" si="91"/>
        <v>0</v>
      </c>
      <c r="U49" s="1235">
        <f t="shared" ref="U49:U51" si="96">R49+S49+T49</f>
        <v>0</v>
      </c>
      <c r="V49" s="1150"/>
      <c r="W49" s="1150"/>
      <c r="X49" s="1148"/>
      <c r="Y49" s="1148"/>
      <c r="Z49" s="1148"/>
      <c r="AA49" s="1148"/>
      <c r="AB49" s="1148"/>
      <c r="AC49" s="1148"/>
      <c r="AD49" s="1148"/>
      <c r="AE49" s="1148"/>
      <c r="AF49" s="1148"/>
      <c r="AG49" s="1148"/>
      <c r="AH49" s="1148"/>
      <c r="AI49" s="1148"/>
      <c r="AJ49" s="1148"/>
      <c r="AK49" s="1148"/>
      <c r="AL49" s="1148"/>
      <c r="AM49" s="1148"/>
      <c r="AN49" s="1148"/>
      <c r="AO49" s="1148"/>
      <c r="AP49" s="1148"/>
      <c r="AQ49" s="1148"/>
      <c r="AR49" s="1148"/>
      <c r="AS49" s="1148"/>
      <c r="AT49" s="1148"/>
      <c r="AU49" s="1148"/>
      <c r="AV49" s="1148"/>
      <c r="AW49" s="1148"/>
      <c r="AX49" s="1148"/>
      <c r="AY49" s="1148"/>
      <c r="AZ49" s="1148"/>
      <c r="BA49" s="1148"/>
      <c r="BB49" s="1148"/>
      <c r="BC49" s="1148"/>
      <c r="BD49" s="1148"/>
      <c r="BE49" s="1148"/>
      <c r="BF49" s="1148"/>
      <c r="BG49" s="1148"/>
      <c r="BH49" s="1148"/>
      <c r="BI49" s="1148"/>
      <c r="BJ49" s="1148"/>
      <c r="BK49" s="1148"/>
      <c r="BL49" s="1148"/>
      <c r="BM49" s="1148"/>
      <c r="BN49" s="1148"/>
      <c r="BO49" s="1148"/>
      <c r="BP49" s="1148"/>
      <c r="BQ49" s="1148"/>
      <c r="BR49" s="1148"/>
      <c r="BS49" s="1148"/>
      <c r="BT49" s="1148"/>
      <c r="BU49" s="1148"/>
      <c r="BV49" s="1148"/>
      <c r="BW49" s="1148"/>
      <c r="BX49" s="1148"/>
      <c r="BY49" s="1148"/>
      <c r="BZ49" s="1148"/>
      <c r="CA49" s="1148"/>
      <c r="CB49" s="1148"/>
      <c r="CC49" s="1148"/>
      <c r="CD49" s="1148"/>
      <c r="CE49" s="1148"/>
      <c r="CF49" s="1148"/>
      <c r="CG49" s="1148"/>
      <c r="CH49" s="1148"/>
      <c r="CI49" s="1148"/>
      <c r="CJ49" s="1148"/>
      <c r="CK49" s="1148"/>
      <c r="CL49" s="1148"/>
      <c r="CM49" s="1148"/>
      <c r="CN49" s="1148"/>
      <c r="CO49" s="1148"/>
      <c r="CP49" s="1148"/>
      <c r="CQ49" s="1148"/>
      <c r="CR49" s="1148"/>
      <c r="CS49" s="1148"/>
      <c r="CT49" s="1148"/>
      <c r="CU49" s="1148"/>
      <c r="CV49" s="1148"/>
      <c r="CW49" s="1148"/>
      <c r="CX49" s="1148"/>
      <c r="CY49" s="1148"/>
      <c r="CZ49" s="1148"/>
      <c r="DA49" s="1148"/>
      <c r="DB49" s="1148"/>
      <c r="DC49" s="1148"/>
      <c r="DD49" s="1148"/>
      <c r="DE49" s="1148"/>
      <c r="DF49" s="1148"/>
      <c r="DG49" s="1148"/>
      <c r="DH49" s="1148"/>
      <c r="DI49" s="1148"/>
      <c r="DJ49" s="1148"/>
      <c r="DK49" s="1148"/>
      <c r="DL49" s="1148"/>
      <c r="DM49" s="1148"/>
      <c r="DN49" s="1148"/>
      <c r="DO49" s="1148"/>
      <c r="DP49" s="1148"/>
      <c r="DQ49" s="1148"/>
      <c r="DR49" s="1148"/>
      <c r="DS49" s="1148"/>
      <c r="DT49" s="1148"/>
      <c r="DU49" s="1148"/>
      <c r="DV49" s="1148"/>
      <c r="DW49" s="1148"/>
      <c r="DX49" s="1148"/>
      <c r="DY49" s="1148"/>
      <c r="DZ49" s="1148"/>
      <c r="EA49" s="1148"/>
    </row>
    <row r="50" spans="1:131" s="1149" customFormat="1" ht="35.1" customHeight="1">
      <c r="A50" s="1569"/>
      <c r="B50" s="1228" t="s">
        <v>801</v>
      </c>
      <c r="C50" s="1572"/>
      <c r="D50" s="1229"/>
      <c r="E50" s="1230">
        <v>0</v>
      </c>
      <c r="F50" s="1230"/>
      <c r="G50" s="1231"/>
      <c r="H50" s="1231"/>
      <c r="I50" s="1232">
        <f t="shared" si="92"/>
        <v>0</v>
      </c>
      <c r="J50" s="1233">
        <v>0</v>
      </c>
      <c r="K50" s="1234">
        <v>0</v>
      </c>
      <c r="L50" s="1234">
        <v>0</v>
      </c>
      <c r="M50" s="1235">
        <f t="shared" si="93"/>
        <v>0</v>
      </c>
      <c r="N50" s="1233">
        <v>0</v>
      </c>
      <c r="O50" s="1234">
        <v>0</v>
      </c>
      <c r="P50" s="1234">
        <v>0</v>
      </c>
      <c r="Q50" s="1235">
        <f t="shared" si="94"/>
        <v>0</v>
      </c>
      <c r="R50" s="1233">
        <f t="shared" si="95"/>
        <v>0</v>
      </c>
      <c r="S50" s="1234">
        <f t="shared" si="91"/>
        <v>0</v>
      </c>
      <c r="T50" s="1234">
        <f t="shared" si="91"/>
        <v>0</v>
      </c>
      <c r="U50" s="1235">
        <f t="shared" si="96"/>
        <v>0</v>
      </c>
      <c r="V50" s="1150"/>
      <c r="W50" s="1150"/>
      <c r="X50" s="1148"/>
      <c r="Y50" s="1148"/>
      <c r="Z50" s="1148"/>
      <c r="AA50" s="1148"/>
      <c r="AB50" s="1148"/>
      <c r="AC50" s="1148"/>
      <c r="AD50" s="1148"/>
      <c r="AE50" s="1148"/>
      <c r="AF50" s="1148"/>
      <c r="AG50" s="1148"/>
      <c r="AH50" s="1148"/>
      <c r="AI50" s="1148"/>
      <c r="AJ50" s="1148"/>
      <c r="AK50" s="1148"/>
      <c r="AL50" s="1148"/>
      <c r="AM50" s="1148"/>
      <c r="AN50" s="1148"/>
      <c r="AO50" s="1148"/>
      <c r="AP50" s="1148"/>
      <c r="AQ50" s="1148"/>
      <c r="AR50" s="1148"/>
      <c r="AS50" s="1148"/>
      <c r="AT50" s="1148"/>
      <c r="AU50" s="1148"/>
      <c r="AV50" s="1148"/>
      <c r="AW50" s="1148"/>
      <c r="AX50" s="1148"/>
      <c r="AY50" s="1148"/>
      <c r="AZ50" s="1148"/>
      <c r="BA50" s="1148"/>
      <c r="BB50" s="1148"/>
      <c r="BC50" s="1148"/>
      <c r="BD50" s="1148"/>
      <c r="BE50" s="1148"/>
      <c r="BF50" s="1148"/>
      <c r="BG50" s="1148"/>
      <c r="BH50" s="1148"/>
      <c r="BI50" s="1148"/>
      <c r="BJ50" s="1148"/>
      <c r="BK50" s="1148"/>
      <c r="BL50" s="1148"/>
      <c r="BM50" s="1148"/>
      <c r="BN50" s="1148"/>
      <c r="BO50" s="1148"/>
      <c r="BP50" s="1148"/>
      <c r="BQ50" s="1148"/>
      <c r="BR50" s="1148"/>
      <c r="BS50" s="1148"/>
      <c r="BT50" s="1148"/>
      <c r="BU50" s="1148"/>
      <c r="BV50" s="1148"/>
      <c r="BW50" s="1148"/>
      <c r="BX50" s="1148"/>
      <c r="BY50" s="1148"/>
      <c r="BZ50" s="1148"/>
      <c r="CA50" s="1148"/>
      <c r="CB50" s="1148"/>
      <c r="CC50" s="1148"/>
      <c r="CD50" s="1148"/>
      <c r="CE50" s="1148"/>
      <c r="CF50" s="1148"/>
      <c r="CG50" s="1148"/>
      <c r="CH50" s="1148"/>
      <c r="CI50" s="1148"/>
      <c r="CJ50" s="1148"/>
      <c r="CK50" s="1148"/>
      <c r="CL50" s="1148"/>
      <c r="CM50" s="1148"/>
      <c r="CN50" s="1148"/>
      <c r="CO50" s="1148"/>
      <c r="CP50" s="1148"/>
      <c r="CQ50" s="1148"/>
      <c r="CR50" s="1148"/>
      <c r="CS50" s="1148"/>
      <c r="CT50" s="1148"/>
      <c r="CU50" s="1148"/>
      <c r="CV50" s="1148"/>
      <c r="CW50" s="1148"/>
      <c r="CX50" s="1148"/>
      <c r="CY50" s="1148"/>
      <c r="CZ50" s="1148"/>
      <c r="DA50" s="1148"/>
      <c r="DB50" s="1148"/>
      <c r="DC50" s="1148"/>
      <c r="DD50" s="1148"/>
      <c r="DE50" s="1148"/>
      <c r="DF50" s="1148"/>
      <c r="DG50" s="1148"/>
      <c r="DH50" s="1148"/>
      <c r="DI50" s="1148"/>
      <c r="DJ50" s="1148"/>
      <c r="DK50" s="1148"/>
      <c r="DL50" s="1148"/>
      <c r="DM50" s="1148"/>
      <c r="DN50" s="1148"/>
      <c r="DO50" s="1148"/>
      <c r="DP50" s="1148"/>
      <c r="DQ50" s="1148"/>
      <c r="DR50" s="1148"/>
      <c r="DS50" s="1148"/>
      <c r="DT50" s="1148"/>
      <c r="DU50" s="1148"/>
      <c r="DV50" s="1148"/>
      <c r="DW50" s="1148"/>
      <c r="DX50" s="1148"/>
      <c r="DY50" s="1148"/>
      <c r="DZ50" s="1148"/>
      <c r="EA50" s="1148"/>
    </row>
    <row r="51" spans="1:131" s="1149" customFormat="1" ht="35.1" customHeight="1" thickBot="1">
      <c r="A51" s="1570"/>
      <c r="B51" s="1236" t="s">
        <v>802</v>
      </c>
      <c r="C51" s="1573"/>
      <c r="D51" s="1237">
        <f t="shared" si="1"/>
        <v>4590.2118369987065</v>
      </c>
      <c r="E51" s="1238">
        <v>0</v>
      </c>
      <c r="F51" s="1238">
        <f>F48+F49+F50</f>
        <v>4.5999999999999999E-2</v>
      </c>
      <c r="G51" s="1239">
        <f t="shared" ref="G51:H51" si="97">G48+G49+G50</f>
        <v>0</v>
      </c>
      <c r="H51" s="1239">
        <f t="shared" si="97"/>
        <v>1.5</v>
      </c>
      <c r="I51" s="1240">
        <f t="shared" si="92"/>
        <v>1.546</v>
      </c>
      <c r="J51" s="1241">
        <f>J48+J49+J50</f>
        <v>16299.16</v>
      </c>
      <c r="K51" s="1242">
        <f t="shared" ref="K51:L51" si="98">K48+K49+K50</f>
        <v>0</v>
      </c>
      <c r="L51" s="1242">
        <f t="shared" si="98"/>
        <v>0</v>
      </c>
      <c r="M51" s="1243">
        <f t="shared" si="93"/>
        <v>16299.16</v>
      </c>
      <c r="N51" s="1241">
        <f>N48+N49+N50</f>
        <v>68858.45</v>
      </c>
      <c r="O51" s="1242">
        <f t="shared" ref="O51:P51" si="99">O48+O49+O50</f>
        <v>0</v>
      </c>
      <c r="P51" s="1242">
        <f t="shared" si="99"/>
        <v>0</v>
      </c>
      <c r="Q51" s="1243">
        <f t="shared" si="94"/>
        <v>68858.45</v>
      </c>
      <c r="R51" s="1241">
        <f>R48+R49+R50</f>
        <v>85157.61</v>
      </c>
      <c r="S51" s="1242">
        <f t="shared" ref="S51:T51" si="100">S48+S49+S50</f>
        <v>0</v>
      </c>
      <c r="T51" s="1242">
        <f t="shared" si="100"/>
        <v>0</v>
      </c>
      <c r="U51" s="1243">
        <f t="shared" si="96"/>
        <v>85157.61</v>
      </c>
      <c r="V51" s="1150"/>
      <c r="W51" s="1150"/>
      <c r="X51" s="1148"/>
      <c r="Y51" s="1148"/>
      <c r="Z51" s="1148"/>
      <c r="AA51" s="1148"/>
      <c r="AB51" s="1148"/>
      <c r="AC51" s="1148"/>
      <c r="AD51" s="1148"/>
      <c r="AE51" s="1148"/>
      <c r="AF51" s="1148"/>
      <c r="AG51" s="1148"/>
      <c r="AH51" s="1148"/>
      <c r="AI51" s="1148"/>
      <c r="AJ51" s="1148"/>
      <c r="AK51" s="1148"/>
      <c r="AL51" s="1148"/>
      <c r="AM51" s="1148"/>
      <c r="AN51" s="1148"/>
      <c r="AO51" s="1148"/>
      <c r="AP51" s="1148"/>
      <c r="AQ51" s="1148"/>
      <c r="AR51" s="1148"/>
      <c r="AS51" s="1148"/>
      <c r="AT51" s="1148"/>
      <c r="AU51" s="1148"/>
      <c r="AV51" s="1148"/>
      <c r="AW51" s="1148"/>
      <c r="AX51" s="1148"/>
      <c r="AY51" s="1148"/>
      <c r="AZ51" s="1148"/>
      <c r="BA51" s="1148"/>
      <c r="BB51" s="1148"/>
      <c r="BC51" s="1148"/>
      <c r="BD51" s="1148"/>
      <c r="BE51" s="1148"/>
      <c r="BF51" s="1148"/>
      <c r="BG51" s="1148"/>
      <c r="BH51" s="1148"/>
      <c r="BI51" s="1148"/>
      <c r="BJ51" s="1148"/>
      <c r="BK51" s="1148"/>
      <c r="BL51" s="1148"/>
      <c r="BM51" s="1148"/>
      <c r="BN51" s="1148"/>
      <c r="BO51" s="1148"/>
      <c r="BP51" s="1148"/>
      <c r="BQ51" s="1148"/>
      <c r="BR51" s="1148"/>
      <c r="BS51" s="1148"/>
      <c r="BT51" s="1148"/>
      <c r="BU51" s="1148"/>
      <c r="BV51" s="1148"/>
      <c r="BW51" s="1148"/>
      <c r="BX51" s="1148"/>
      <c r="BY51" s="1148"/>
      <c r="BZ51" s="1148"/>
      <c r="CA51" s="1148"/>
      <c r="CB51" s="1148"/>
      <c r="CC51" s="1148"/>
      <c r="CD51" s="1148"/>
      <c r="CE51" s="1148"/>
      <c r="CF51" s="1148"/>
      <c r="CG51" s="1148"/>
      <c r="CH51" s="1148"/>
      <c r="CI51" s="1148"/>
      <c r="CJ51" s="1148"/>
      <c r="CK51" s="1148"/>
      <c r="CL51" s="1148"/>
      <c r="CM51" s="1148"/>
      <c r="CN51" s="1148"/>
      <c r="CO51" s="1148"/>
      <c r="CP51" s="1148"/>
      <c r="CQ51" s="1148"/>
      <c r="CR51" s="1148"/>
      <c r="CS51" s="1148"/>
      <c r="CT51" s="1148"/>
      <c r="CU51" s="1148"/>
      <c r="CV51" s="1148"/>
      <c r="CW51" s="1148"/>
      <c r="CX51" s="1148"/>
      <c r="CY51" s="1148"/>
      <c r="CZ51" s="1148"/>
      <c r="DA51" s="1148"/>
      <c r="DB51" s="1148"/>
      <c r="DC51" s="1148"/>
      <c r="DD51" s="1148"/>
      <c r="DE51" s="1148"/>
      <c r="DF51" s="1148"/>
      <c r="DG51" s="1148"/>
      <c r="DH51" s="1148"/>
      <c r="DI51" s="1148"/>
      <c r="DJ51" s="1148"/>
      <c r="DK51" s="1148"/>
      <c r="DL51" s="1148"/>
      <c r="DM51" s="1148"/>
      <c r="DN51" s="1148"/>
      <c r="DO51" s="1148"/>
      <c r="DP51" s="1148"/>
      <c r="DQ51" s="1148"/>
      <c r="DR51" s="1148"/>
      <c r="DS51" s="1148"/>
      <c r="DT51" s="1148"/>
      <c r="DU51" s="1148"/>
      <c r="DV51" s="1148"/>
      <c r="DW51" s="1148"/>
      <c r="DX51" s="1148"/>
      <c r="DY51" s="1148"/>
      <c r="DZ51" s="1148"/>
      <c r="EA51" s="1148"/>
    </row>
    <row r="52" spans="1:131" s="1149" customFormat="1" ht="35.1" customHeight="1">
      <c r="A52" s="1568" t="s">
        <v>824</v>
      </c>
      <c r="B52" s="1220" t="s">
        <v>52</v>
      </c>
      <c r="C52" s="1571">
        <v>12108</v>
      </c>
      <c r="D52" s="1221"/>
      <c r="E52" s="1222">
        <v>0</v>
      </c>
      <c r="F52" s="1222"/>
      <c r="G52" s="1223"/>
      <c r="H52" s="1223"/>
      <c r="I52" s="1224">
        <f>F52+G52+H52</f>
        <v>0</v>
      </c>
      <c r="J52" s="1225"/>
      <c r="K52" s="1226">
        <v>0</v>
      </c>
      <c r="L52" s="1226">
        <v>0</v>
      </c>
      <c r="M52" s="1227">
        <f>J52+K52+L52</f>
        <v>0</v>
      </c>
      <c r="N52" s="1225"/>
      <c r="O52" s="1226">
        <v>0</v>
      </c>
      <c r="P52" s="1226">
        <v>0</v>
      </c>
      <c r="Q52" s="1227">
        <f>N52+O52+P52</f>
        <v>0</v>
      </c>
      <c r="R52" s="1225">
        <f>J52+N52</f>
        <v>0</v>
      </c>
      <c r="S52" s="1226">
        <f t="shared" ref="S52:T54" si="101">K52+O52</f>
        <v>0</v>
      </c>
      <c r="T52" s="1226">
        <f t="shared" si="101"/>
        <v>0</v>
      </c>
      <c r="U52" s="1227">
        <f>R52+S52+T52</f>
        <v>0</v>
      </c>
      <c r="V52" s="1150"/>
      <c r="W52" s="1150"/>
      <c r="X52" s="1148"/>
      <c r="Y52" s="1148"/>
      <c r="Z52" s="1148"/>
      <c r="AA52" s="1148"/>
      <c r="AB52" s="1148"/>
      <c r="AC52" s="1148"/>
      <c r="AD52" s="1148"/>
      <c r="AE52" s="1148"/>
      <c r="AF52" s="1148"/>
      <c r="AG52" s="1148"/>
      <c r="AH52" s="1148"/>
      <c r="AI52" s="1148"/>
      <c r="AJ52" s="1148"/>
      <c r="AK52" s="1148"/>
      <c r="AL52" s="1148"/>
      <c r="AM52" s="1148"/>
      <c r="AN52" s="1148"/>
      <c r="AO52" s="1148"/>
      <c r="AP52" s="1148"/>
      <c r="AQ52" s="1148"/>
      <c r="AR52" s="1148"/>
      <c r="AS52" s="1148"/>
      <c r="AT52" s="1148"/>
      <c r="AU52" s="1148"/>
      <c r="AV52" s="1148"/>
      <c r="AW52" s="1148"/>
      <c r="AX52" s="1148"/>
      <c r="AY52" s="1148"/>
      <c r="AZ52" s="1148"/>
      <c r="BA52" s="1148"/>
      <c r="BB52" s="1148"/>
      <c r="BC52" s="1148"/>
      <c r="BD52" s="1148"/>
      <c r="BE52" s="1148"/>
      <c r="BF52" s="1148"/>
      <c r="BG52" s="1148"/>
      <c r="BH52" s="1148"/>
      <c r="BI52" s="1148"/>
      <c r="BJ52" s="1148"/>
      <c r="BK52" s="1148"/>
      <c r="BL52" s="1148"/>
      <c r="BM52" s="1148"/>
      <c r="BN52" s="1148"/>
      <c r="BO52" s="1148"/>
      <c r="BP52" s="1148"/>
      <c r="BQ52" s="1148"/>
      <c r="BR52" s="1148"/>
      <c r="BS52" s="1148"/>
      <c r="BT52" s="1148"/>
      <c r="BU52" s="1148"/>
      <c r="BV52" s="1148"/>
      <c r="BW52" s="1148"/>
      <c r="BX52" s="1148"/>
      <c r="BY52" s="1148"/>
      <c r="BZ52" s="1148"/>
      <c r="CA52" s="1148"/>
      <c r="CB52" s="1148"/>
      <c r="CC52" s="1148"/>
      <c r="CD52" s="1148"/>
      <c r="CE52" s="1148"/>
      <c r="CF52" s="1148"/>
      <c r="CG52" s="1148"/>
      <c r="CH52" s="1148"/>
      <c r="CI52" s="1148"/>
      <c r="CJ52" s="1148"/>
      <c r="CK52" s="1148"/>
      <c r="CL52" s="1148"/>
      <c r="CM52" s="1148"/>
      <c r="CN52" s="1148"/>
      <c r="CO52" s="1148"/>
      <c r="CP52" s="1148"/>
      <c r="CQ52" s="1148"/>
      <c r="CR52" s="1148"/>
      <c r="CS52" s="1148"/>
      <c r="CT52" s="1148"/>
      <c r="CU52" s="1148"/>
      <c r="CV52" s="1148"/>
      <c r="CW52" s="1148"/>
      <c r="CX52" s="1148"/>
      <c r="CY52" s="1148"/>
      <c r="CZ52" s="1148"/>
      <c r="DA52" s="1148"/>
      <c r="DB52" s="1148"/>
      <c r="DC52" s="1148"/>
      <c r="DD52" s="1148"/>
      <c r="DE52" s="1148"/>
      <c r="DF52" s="1148"/>
      <c r="DG52" s="1148"/>
      <c r="DH52" s="1148"/>
      <c r="DI52" s="1148"/>
      <c r="DJ52" s="1148"/>
      <c r="DK52" s="1148"/>
      <c r="DL52" s="1148"/>
      <c r="DM52" s="1148"/>
      <c r="DN52" s="1148"/>
      <c r="DO52" s="1148"/>
      <c r="DP52" s="1148"/>
      <c r="DQ52" s="1148"/>
      <c r="DR52" s="1148"/>
      <c r="DS52" s="1148"/>
      <c r="DT52" s="1148"/>
      <c r="DU52" s="1148"/>
      <c r="DV52" s="1148"/>
      <c r="DW52" s="1148"/>
      <c r="DX52" s="1148"/>
      <c r="DY52" s="1148"/>
      <c r="DZ52" s="1148"/>
      <c r="EA52" s="1148"/>
    </row>
    <row r="53" spans="1:131" s="1149" customFormat="1" ht="35.1" customHeight="1">
      <c r="A53" s="1569"/>
      <c r="B53" s="1228" t="s">
        <v>800</v>
      </c>
      <c r="C53" s="1572"/>
      <c r="D53" s="1229"/>
      <c r="E53" s="1230">
        <v>0</v>
      </c>
      <c r="F53" s="1230"/>
      <c r="G53" s="1231"/>
      <c r="H53" s="1231"/>
      <c r="I53" s="1232">
        <f t="shared" ref="I53:I55" si="102">F53+G53+H53</f>
        <v>0</v>
      </c>
      <c r="J53" s="1233"/>
      <c r="K53" s="1234">
        <v>0</v>
      </c>
      <c r="L53" s="1234">
        <v>0</v>
      </c>
      <c r="M53" s="1235">
        <f t="shared" ref="M53:M55" si="103">J53+K53+L53</f>
        <v>0</v>
      </c>
      <c r="N53" s="1233"/>
      <c r="O53" s="1234">
        <v>0</v>
      </c>
      <c r="P53" s="1234">
        <v>0</v>
      </c>
      <c r="Q53" s="1235">
        <f t="shared" ref="Q53:Q55" si="104">N53+O53+P53</f>
        <v>0</v>
      </c>
      <c r="R53" s="1233">
        <f t="shared" ref="R53:R54" si="105">J53+N53</f>
        <v>0</v>
      </c>
      <c r="S53" s="1234">
        <f t="shared" si="101"/>
        <v>0</v>
      </c>
      <c r="T53" s="1234">
        <f t="shared" si="101"/>
        <v>0</v>
      </c>
      <c r="U53" s="1235">
        <f t="shared" ref="U53:U55" si="106">R53+S53+T53</f>
        <v>0</v>
      </c>
      <c r="V53" s="1150"/>
      <c r="W53" s="1150"/>
      <c r="X53" s="1148"/>
      <c r="Y53" s="1148"/>
      <c r="Z53" s="1148"/>
      <c r="AA53" s="1148"/>
      <c r="AB53" s="1148"/>
      <c r="AC53" s="1148"/>
      <c r="AD53" s="1148"/>
      <c r="AE53" s="1148"/>
      <c r="AF53" s="1148"/>
      <c r="AG53" s="1148"/>
      <c r="AH53" s="1148"/>
      <c r="AI53" s="1148"/>
      <c r="AJ53" s="1148"/>
      <c r="AK53" s="1148"/>
      <c r="AL53" s="1148"/>
      <c r="AM53" s="1148"/>
      <c r="AN53" s="1148"/>
      <c r="AO53" s="1148"/>
      <c r="AP53" s="1148"/>
      <c r="AQ53" s="1148"/>
      <c r="AR53" s="1148"/>
      <c r="AS53" s="1148"/>
      <c r="AT53" s="1148"/>
      <c r="AU53" s="1148"/>
      <c r="AV53" s="1148"/>
      <c r="AW53" s="1148"/>
      <c r="AX53" s="1148"/>
      <c r="AY53" s="1148"/>
      <c r="AZ53" s="1148"/>
      <c r="BA53" s="1148"/>
      <c r="BB53" s="1148"/>
      <c r="BC53" s="1148"/>
      <c r="BD53" s="1148"/>
      <c r="BE53" s="1148"/>
      <c r="BF53" s="1148"/>
      <c r="BG53" s="1148"/>
      <c r="BH53" s="1148"/>
      <c r="BI53" s="1148"/>
      <c r="BJ53" s="1148"/>
      <c r="BK53" s="1148"/>
      <c r="BL53" s="1148"/>
      <c r="BM53" s="1148"/>
      <c r="BN53" s="1148"/>
      <c r="BO53" s="1148"/>
      <c r="BP53" s="1148"/>
      <c r="BQ53" s="1148"/>
      <c r="BR53" s="1148"/>
      <c r="BS53" s="1148"/>
      <c r="BT53" s="1148"/>
      <c r="BU53" s="1148"/>
      <c r="BV53" s="1148"/>
      <c r="BW53" s="1148"/>
      <c r="BX53" s="1148"/>
      <c r="BY53" s="1148"/>
      <c r="BZ53" s="1148"/>
      <c r="CA53" s="1148"/>
      <c r="CB53" s="1148"/>
      <c r="CC53" s="1148"/>
      <c r="CD53" s="1148"/>
      <c r="CE53" s="1148"/>
      <c r="CF53" s="1148"/>
      <c r="CG53" s="1148"/>
      <c r="CH53" s="1148"/>
      <c r="CI53" s="1148"/>
      <c r="CJ53" s="1148"/>
      <c r="CK53" s="1148"/>
      <c r="CL53" s="1148"/>
      <c r="CM53" s="1148"/>
      <c r="CN53" s="1148"/>
      <c r="CO53" s="1148"/>
      <c r="CP53" s="1148"/>
      <c r="CQ53" s="1148"/>
      <c r="CR53" s="1148"/>
      <c r="CS53" s="1148"/>
      <c r="CT53" s="1148"/>
      <c r="CU53" s="1148"/>
      <c r="CV53" s="1148"/>
      <c r="CW53" s="1148"/>
      <c r="CX53" s="1148"/>
      <c r="CY53" s="1148"/>
      <c r="CZ53" s="1148"/>
      <c r="DA53" s="1148"/>
      <c r="DB53" s="1148"/>
      <c r="DC53" s="1148"/>
      <c r="DD53" s="1148"/>
      <c r="DE53" s="1148"/>
      <c r="DF53" s="1148"/>
      <c r="DG53" s="1148"/>
      <c r="DH53" s="1148"/>
      <c r="DI53" s="1148"/>
      <c r="DJ53" s="1148"/>
      <c r="DK53" s="1148"/>
      <c r="DL53" s="1148"/>
      <c r="DM53" s="1148"/>
      <c r="DN53" s="1148"/>
      <c r="DO53" s="1148"/>
      <c r="DP53" s="1148"/>
      <c r="DQ53" s="1148"/>
      <c r="DR53" s="1148"/>
      <c r="DS53" s="1148"/>
      <c r="DT53" s="1148"/>
      <c r="DU53" s="1148"/>
      <c r="DV53" s="1148"/>
      <c r="DW53" s="1148"/>
      <c r="DX53" s="1148"/>
      <c r="DY53" s="1148"/>
      <c r="DZ53" s="1148"/>
      <c r="EA53" s="1148"/>
    </row>
    <row r="54" spans="1:131" s="1149" customFormat="1" ht="35.1" customHeight="1">
      <c r="A54" s="1569"/>
      <c r="B54" s="1228" t="s">
        <v>801</v>
      </c>
      <c r="C54" s="1572"/>
      <c r="D54" s="1229"/>
      <c r="E54" s="1230">
        <v>0</v>
      </c>
      <c r="F54" s="1230"/>
      <c r="G54" s="1231"/>
      <c r="H54" s="1231"/>
      <c r="I54" s="1232">
        <f t="shared" si="102"/>
        <v>0</v>
      </c>
      <c r="J54" s="1233">
        <v>0</v>
      </c>
      <c r="K54" s="1234">
        <v>0</v>
      </c>
      <c r="L54" s="1234"/>
      <c r="M54" s="1235">
        <f t="shared" si="103"/>
        <v>0</v>
      </c>
      <c r="N54" s="1233">
        <v>0</v>
      </c>
      <c r="O54" s="1234">
        <v>0</v>
      </c>
      <c r="P54" s="1234">
        <v>20000</v>
      </c>
      <c r="Q54" s="1235">
        <f t="shared" si="104"/>
        <v>20000</v>
      </c>
      <c r="R54" s="1233">
        <f t="shared" si="105"/>
        <v>0</v>
      </c>
      <c r="S54" s="1234">
        <f t="shared" si="101"/>
        <v>0</v>
      </c>
      <c r="T54" s="1234">
        <f t="shared" si="101"/>
        <v>20000</v>
      </c>
      <c r="U54" s="1235">
        <f t="shared" si="106"/>
        <v>20000</v>
      </c>
      <c r="V54" s="1150"/>
      <c r="W54" s="1150"/>
      <c r="X54" s="1148"/>
      <c r="Y54" s="1148"/>
      <c r="Z54" s="1148"/>
      <c r="AA54" s="1148"/>
      <c r="AB54" s="1148"/>
      <c r="AC54" s="1148"/>
      <c r="AD54" s="1148"/>
      <c r="AE54" s="1148"/>
      <c r="AF54" s="1148"/>
      <c r="AG54" s="1148"/>
      <c r="AH54" s="1148"/>
      <c r="AI54" s="1148"/>
      <c r="AJ54" s="1148"/>
      <c r="AK54" s="1148"/>
      <c r="AL54" s="1148"/>
      <c r="AM54" s="1148"/>
      <c r="AN54" s="1148"/>
      <c r="AO54" s="1148"/>
      <c r="AP54" s="1148"/>
      <c r="AQ54" s="1148"/>
      <c r="AR54" s="1148"/>
      <c r="AS54" s="1148"/>
      <c r="AT54" s="1148"/>
      <c r="AU54" s="1148"/>
      <c r="AV54" s="1148"/>
      <c r="AW54" s="1148"/>
      <c r="AX54" s="1148"/>
      <c r="AY54" s="1148"/>
      <c r="AZ54" s="1148"/>
      <c r="BA54" s="1148"/>
      <c r="BB54" s="1148"/>
      <c r="BC54" s="1148"/>
      <c r="BD54" s="1148"/>
      <c r="BE54" s="1148"/>
      <c r="BF54" s="1148"/>
      <c r="BG54" s="1148"/>
      <c r="BH54" s="1148"/>
      <c r="BI54" s="1148"/>
      <c r="BJ54" s="1148"/>
      <c r="BK54" s="1148"/>
      <c r="BL54" s="1148"/>
      <c r="BM54" s="1148"/>
      <c r="BN54" s="1148"/>
      <c r="BO54" s="1148"/>
      <c r="BP54" s="1148"/>
      <c r="BQ54" s="1148"/>
      <c r="BR54" s="1148"/>
      <c r="BS54" s="1148"/>
      <c r="BT54" s="1148"/>
      <c r="BU54" s="1148"/>
      <c r="BV54" s="1148"/>
      <c r="BW54" s="1148"/>
      <c r="BX54" s="1148"/>
      <c r="BY54" s="1148"/>
      <c r="BZ54" s="1148"/>
      <c r="CA54" s="1148"/>
      <c r="CB54" s="1148"/>
      <c r="CC54" s="1148"/>
      <c r="CD54" s="1148"/>
      <c r="CE54" s="1148"/>
      <c r="CF54" s="1148"/>
      <c r="CG54" s="1148"/>
      <c r="CH54" s="1148"/>
      <c r="CI54" s="1148"/>
      <c r="CJ54" s="1148"/>
      <c r="CK54" s="1148"/>
      <c r="CL54" s="1148"/>
      <c r="CM54" s="1148"/>
      <c r="CN54" s="1148"/>
      <c r="CO54" s="1148"/>
      <c r="CP54" s="1148"/>
      <c r="CQ54" s="1148"/>
      <c r="CR54" s="1148"/>
      <c r="CS54" s="1148"/>
      <c r="CT54" s="1148"/>
      <c r="CU54" s="1148"/>
      <c r="CV54" s="1148"/>
      <c r="CW54" s="1148"/>
      <c r="CX54" s="1148"/>
      <c r="CY54" s="1148"/>
      <c r="CZ54" s="1148"/>
      <c r="DA54" s="1148"/>
      <c r="DB54" s="1148"/>
      <c r="DC54" s="1148"/>
      <c r="DD54" s="1148"/>
      <c r="DE54" s="1148"/>
      <c r="DF54" s="1148"/>
      <c r="DG54" s="1148"/>
      <c r="DH54" s="1148"/>
      <c r="DI54" s="1148"/>
      <c r="DJ54" s="1148"/>
      <c r="DK54" s="1148"/>
      <c r="DL54" s="1148"/>
      <c r="DM54" s="1148"/>
      <c r="DN54" s="1148"/>
      <c r="DO54" s="1148"/>
      <c r="DP54" s="1148"/>
      <c r="DQ54" s="1148"/>
      <c r="DR54" s="1148"/>
      <c r="DS54" s="1148"/>
      <c r="DT54" s="1148"/>
      <c r="DU54" s="1148"/>
      <c r="DV54" s="1148"/>
      <c r="DW54" s="1148"/>
      <c r="DX54" s="1148"/>
      <c r="DY54" s="1148"/>
      <c r="DZ54" s="1148"/>
      <c r="EA54" s="1148"/>
    </row>
    <row r="55" spans="1:131" s="1149" customFormat="1" ht="35.1" customHeight="1" thickBot="1">
      <c r="A55" s="1570"/>
      <c r="B55" s="1236" t="s">
        <v>802</v>
      </c>
      <c r="C55" s="1573"/>
      <c r="D55" s="1237"/>
      <c r="E55" s="1238">
        <v>0</v>
      </c>
      <c r="F55" s="1238">
        <f>F52+F53+F54</f>
        <v>0</v>
      </c>
      <c r="G55" s="1239">
        <f t="shared" ref="G55:H55" si="107">G52+G53+G54</f>
        <v>0</v>
      </c>
      <c r="H55" s="1239">
        <f t="shared" si="107"/>
        <v>0</v>
      </c>
      <c r="I55" s="1240">
        <f t="shared" si="102"/>
        <v>0</v>
      </c>
      <c r="J55" s="1241">
        <f>J52+J53+J54</f>
        <v>0</v>
      </c>
      <c r="K55" s="1242">
        <f t="shared" ref="K55:L55" si="108">K52+K53+K54</f>
        <v>0</v>
      </c>
      <c r="L55" s="1242">
        <f t="shared" si="108"/>
        <v>0</v>
      </c>
      <c r="M55" s="1243">
        <f t="shared" si="103"/>
        <v>0</v>
      </c>
      <c r="N55" s="1241">
        <f>N52+N53+N54</f>
        <v>0</v>
      </c>
      <c r="O55" s="1242">
        <f t="shared" ref="O55:P55" si="109">O52+O53+O54</f>
        <v>0</v>
      </c>
      <c r="P55" s="1242">
        <f t="shared" si="109"/>
        <v>20000</v>
      </c>
      <c r="Q55" s="1243">
        <f t="shared" si="104"/>
        <v>20000</v>
      </c>
      <c r="R55" s="1241">
        <f>R52+R53+R54</f>
        <v>0</v>
      </c>
      <c r="S55" s="1242">
        <f t="shared" ref="S55:T55" si="110">S52+S53+S54</f>
        <v>0</v>
      </c>
      <c r="T55" s="1242">
        <f t="shared" si="110"/>
        <v>20000</v>
      </c>
      <c r="U55" s="1243">
        <f t="shared" si="106"/>
        <v>20000</v>
      </c>
      <c r="V55" s="1150"/>
      <c r="W55" s="1150"/>
      <c r="X55" s="1148"/>
      <c r="Y55" s="1148"/>
      <c r="Z55" s="1148"/>
      <c r="AA55" s="1148"/>
      <c r="AB55" s="1148"/>
      <c r="AC55" s="1148"/>
      <c r="AD55" s="1148"/>
      <c r="AE55" s="1148"/>
      <c r="AF55" s="1148"/>
      <c r="AG55" s="1148"/>
      <c r="AH55" s="1148"/>
      <c r="AI55" s="1148"/>
      <c r="AJ55" s="1148"/>
      <c r="AK55" s="1148"/>
      <c r="AL55" s="1148"/>
      <c r="AM55" s="1148"/>
      <c r="AN55" s="1148"/>
      <c r="AO55" s="1148"/>
      <c r="AP55" s="1148"/>
      <c r="AQ55" s="1148"/>
      <c r="AR55" s="1148"/>
      <c r="AS55" s="1148"/>
      <c r="AT55" s="1148"/>
      <c r="AU55" s="1148"/>
      <c r="AV55" s="1148"/>
      <c r="AW55" s="1148"/>
      <c r="AX55" s="1148"/>
      <c r="AY55" s="1148"/>
      <c r="AZ55" s="1148"/>
      <c r="BA55" s="1148"/>
      <c r="BB55" s="1148"/>
      <c r="BC55" s="1148"/>
      <c r="BD55" s="1148"/>
      <c r="BE55" s="1148"/>
      <c r="BF55" s="1148"/>
      <c r="BG55" s="1148"/>
      <c r="BH55" s="1148"/>
      <c r="BI55" s="1148"/>
      <c r="BJ55" s="1148"/>
      <c r="BK55" s="1148"/>
      <c r="BL55" s="1148"/>
      <c r="BM55" s="1148"/>
      <c r="BN55" s="1148"/>
      <c r="BO55" s="1148"/>
      <c r="BP55" s="1148"/>
      <c r="BQ55" s="1148"/>
      <c r="BR55" s="1148"/>
      <c r="BS55" s="1148"/>
      <c r="BT55" s="1148"/>
      <c r="BU55" s="1148"/>
      <c r="BV55" s="1148"/>
      <c r="BW55" s="1148"/>
      <c r="BX55" s="1148"/>
      <c r="BY55" s="1148"/>
      <c r="BZ55" s="1148"/>
      <c r="CA55" s="1148"/>
      <c r="CB55" s="1148"/>
      <c r="CC55" s="1148"/>
      <c r="CD55" s="1148"/>
      <c r="CE55" s="1148"/>
      <c r="CF55" s="1148"/>
      <c r="CG55" s="1148"/>
      <c r="CH55" s="1148"/>
      <c r="CI55" s="1148"/>
      <c r="CJ55" s="1148"/>
      <c r="CK55" s="1148"/>
      <c r="CL55" s="1148"/>
      <c r="CM55" s="1148"/>
      <c r="CN55" s="1148"/>
      <c r="CO55" s="1148"/>
      <c r="CP55" s="1148"/>
      <c r="CQ55" s="1148"/>
      <c r="CR55" s="1148"/>
      <c r="CS55" s="1148"/>
      <c r="CT55" s="1148"/>
      <c r="CU55" s="1148"/>
      <c r="CV55" s="1148"/>
      <c r="CW55" s="1148"/>
      <c r="CX55" s="1148"/>
      <c r="CY55" s="1148"/>
      <c r="CZ55" s="1148"/>
      <c r="DA55" s="1148"/>
      <c r="DB55" s="1148"/>
      <c r="DC55" s="1148"/>
      <c r="DD55" s="1148"/>
      <c r="DE55" s="1148"/>
      <c r="DF55" s="1148"/>
      <c r="DG55" s="1148"/>
      <c r="DH55" s="1148"/>
      <c r="DI55" s="1148"/>
      <c r="DJ55" s="1148"/>
      <c r="DK55" s="1148"/>
      <c r="DL55" s="1148"/>
      <c r="DM55" s="1148"/>
      <c r="DN55" s="1148"/>
      <c r="DO55" s="1148"/>
      <c r="DP55" s="1148"/>
      <c r="DQ55" s="1148"/>
      <c r="DR55" s="1148"/>
      <c r="DS55" s="1148"/>
      <c r="DT55" s="1148"/>
      <c r="DU55" s="1148"/>
      <c r="DV55" s="1148"/>
      <c r="DW55" s="1148"/>
      <c r="DX55" s="1148"/>
      <c r="DY55" s="1148"/>
      <c r="DZ55" s="1148"/>
      <c r="EA55" s="1148"/>
    </row>
    <row r="56" spans="1:131" s="1149" customFormat="1" ht="35.1" customHeight="1">
      <c r="A56" s="1568" t="s">
        <v>824</v>
      </c>
      <c r="B56" s="1220" t="s">
        <v>52</v>
      </c>
      <c r="C56" s="1571">
        <v>36</v>
      </c>
      <c r="D56" s="1221"/>
      <c r="E56" s="1222">
        <v>0</v>
      </c>
      <c r="F56" s="1222"/>
      <c r="G56" s="1223"/>
      <c r="H56" s="1223"/>
      <c r="I56" s="1224">
        <f>F56+G56+H56</f>
        <v>0</v>
      </c>
      <c r="J56" s="1225"/>
      <c r="K56" s="1226">
        <v>0</v>
      </c>
      <c r="L56" s="1226">
        <v>0</v>
      </c>
      <c r="M56" s="1227">
        <f>J56+K56+L56</f>
        <v>0</v>
      </c>
      <c r="N56" s="1225"/>
      <c r="O56" s="1226">
        <v>0</v>
      </c>
      <c r="P56" s="1226">
        <v>0</v>
      </c>
      <c r="Q56" s="1227">
        <f>N56+O56+P56</f>
        <v>0</v>
      </c>
      <c r="R56" s="1225">
        <f>J56+N56</f>
        <v>0</v>
      </c>
      <c r="S56" s="1226">
        <f t="shared" ref="S56:T58" si="111">K56+O56</f>
        <v>0</v>
      </c>
      <c r="T56" s="1226">
        <f t="shared" si="111"/>
        <v>0</v>
      </c>
      <c r="U56" s="1227">
        <f>R56+S56+T56</f>
        <v>0</v>
      </c>
      <c r="V56" s="1150"/>
      <c r="W56" s="1150"/>
      <c r="X56" s="1148"/>
      <c r="Y56" s="1148"/>
      <c r="Z56" s="1148"/>
      <c r="AA56" s="1148"/>
      <c r="AB56" s="1148"/>
      <c r="AC56" s="1148"/>
      <c r="AD56" s="1148"/>
      <c r="AE56" s="1148"/>
      <c r="AF56" s="1148"/>
      <c r="AG56" s="1148"/>
      <c r="AH56" s="1148"/>
      <c r="AI56" s="1148"/>
      <c r="AJ56" s="1148"/>
      <c r="AK56" s="1148"/>
      <c r="AL56" s="1148"/>
      <c r="AM56" s="1148"/>
      <c r="AN56" s="1148"/>
      <c r="AO56" s="1148"/>
      <c r="AP56" s="1148"/>
      <c r="AQ56" s="1148"/>
      <c r="AR56" s="1148"/>
      <c r="AS56" s="1148"/>
      <c r="AT56" s="1148"/>
      <c r="AU56" s="1148"/>
      <c r="AV56" s="1148"/>
      <c r="AW56" s="1148"/>
      <c r="AX56" s="1148"/>
      <c r="AY56" s="1148"/>
      <c r="AZ56" s="1148"/>
      <c r="BA56" s="1148"/>
      <c r="BB56" s="1148"/>
      <c r="BC56" s="1148"/>
      <c r="BD56" s="1148"/>
      <c r="BE56" s="1148"/>
      <c r="BF56" s="1148"/>
      <c r="BG56" s="1148"/>
      <c r="BH56" s="1148"/>
      <c r="BI56" s="1148"/>
      <c r="BJ56" s="1148"/>
      <c r="BK56" s="1148"/>
      <c r="BL56" s="1148"/>
      <c r="BM56" s="1148"/>
      <c r="BN56" s="1148"/>
      <c r="BO56" s="1148"/>
      <c r="BP56" s="1148"/>
      <c r="BQ56" s="1148"/>
      <c r="BR56" s="1148"/>
      <c r="BS56" s="1148"/>
      <c r="BT56" s="1148"/>
      <c r="BU56" s="1148"/>
      <c r="BV56" s="1148"/>
      <c r="BW56" s="1148"/>
      <c r="BX56" s="1148"/>
      <c r="BY56" s="1148"/>
      <c r="BZ56" s="1148"/>
      <c r="CA56" s="1148"/>
      <c r="CB56" s="1148"/>
      <c r="CC56" s="1148"/>
      <c r="CD56" s="1148"/>
      <c r="CE56" s="1148"/>
      <c r="CF56" s="1148"/>
      <c r="CG56" s="1148"/>
      <c r="CH56" s="1148"/>
      <c r="CI56" s="1148"/>
      <c r="CJ56" s="1148"/>
      <c r="CK56" s="1148"/>
      <c r="CL56" s="1148"/>
      <c r="CM56" s="1148"/>
      <c r="CN56" s="1148"/>
      <c r="CO56" s="1148"/>
      <c r="CP56" s="1148"/>
      <c r="CQ56" s="1148"/>
      <c r="CR56" s="1148"/>
      <c r="CS56" s="1148"/>
      <c r="CT56" s="1148"/>
      <c r="CU56" s="1148"/>
      <c r="CV56" s="1148"/>
      <c r="CW56" s="1148"/>
      <c r="CX56" s="1148"/>
      <c r="CY56" s="1148"/>
      <c r="CZ56" s="1148"/>
      <c r="DA56" s="1148"/>
      <c r="DB56" s="1148"/>
      <c r="DC56" s="1148"/>
      <c r="DD56" s="1148"/>
      <c r="DE56" s="1148"/>
      <c r="DF56" s="1148"/>
      <c r="DG56" s="1148"/>
      <c r="DH56" s="1148"/>
      <c r="DI56" s="1148"/>
      <c r="DJ56" s="1148"/>
      <c r="DK56" s="1148"/>
      <c r="DL56" s="1148"/>
      <c r="DM56" s="1148"/>
      <c r="DN56" s="1148"/>
      <c r="DO56" s="1148"/>
      <c r="DP56" s="1148"/>
      <c r="DQ56" s="1148"/>
      <c r="DR56" s="1148"/>
      <c r="DS56" s="1148"/>
      <c r="DT56" s="1148"/>
      <c r="DU56" s="1148"/>
      <c r="DV56" s="1148"/>
      <c r="DW56" s="1148"/>
      <c r="DX56" s="1148"/>
      <c r="DY56" s="1148"/>
      <c r="DZ56" s="1148"/>
      <c r="EA56" s="1148"/>
    </row>
    <row r="57" spans="1:131" s="1149" customFormat="1" ht="35.1" customHeight="1">
      <c r="A57" s="1569"/>
      <c r="B57" s="1228" t="s">
        <v>800</v>
      </c>
      <c r="C57" s="1572"/>
      <c r="D57" s="1229"/>
      <c r="E57" s="1230">
        <v>0</v>
      </c>
      <c r="F57" s="1230"/>
      <c r="G57" s="1231"/>
      <c r="H57" s="1231"/>
      <c r="I57" s="1232">
        <f t="shared" ref="I57:I59" si="112">F57+G57+H57</f>
        <v>0</v>
      </c>
      <c r="J57" s="1233"/>
      <c r="K57" s="1234">
        <v>0</v>
      </c>
      <c r="L57" s="1234">
        <v>0</v>
      </c>
      <c r="M57" s="1235">
        <f t="shared" ref="M57:M59" si="113">J57+K57+L57</f>
        <v>0</v>
      </c>
      <c r="N57" s="1233"/>
      <c r="O57" s="1234">
        <v>0</v>
      </c>
      <c r="P57" s="1234">
        <v>0</v>
      </c>
      <c r="Q57" s="1235">
        <f t="shared" ref="Q57:Q59" si="114">N57+O57+P57</f>
        <v>0</v>
      </c>
      <c r="R57" s="1233">
        <f t="shared" ref="R57:R58" si="115">J57+N57</f>
        <v>0</v>
      </c>
      <c r="S57" s="1234">
        <f t="shared" si="111"/>
        <v>0</v>
      </c>
      <c r="T57" s="1234">
        <f t="shared" si="111"/>
        <v>0</v>
      </c>
      <c r="U57" s="1235">
        <f t="shared" ref="U57:U59" si="116">R57+S57+T57</f>
        <v>0</v>
      </c>
      <c r="V57" s="1150"/>
      <c r="W57" s="1150"/>
      <c r="X57" s="1148"/>
      <c r="Y57" s="1148"/>
      <c r="Z57" s="1148"/>
      <c r="AA57" s="1148"/>
      <c r="AB57" s="1148"/>
      <c r="AC57" s="1148"/>
      <c r="AD57" s="1148"/>
      <c r="AE57" s="1148"/>
      <c r="AF57" s="1148"/>
      <c r="AG57" s="1148"/>
      <c r="AH57" s="1148"/>
      <c r="AI57" s="1148"/>
      <c r="AJ57" s="1148"/>
      <c r="AK57" s="1148"/>
      <c r="AL57" s="1148"/>
      <c r="AM57" s="1148"/>
      <c r="AN57" s="1148"/>
      <c r="AO57" s="1148"/>
      <c r="AP57" s="1148"/>
      <c r="AQ57" s="1148"/>
      <c r="AR57" s="1148"/>
      <c r="AS57" s="1148"/>
      <c r="AT57" s="1148"/>
      <c r="AU57" s="1148"/>
      <c r="AV57" s="1148"/>
      <c r="AW57" s="1148"/>
      <c r="AX57" s="1148"/>
      <c r="AY57" s="1148"/>
      <c r="AZ57" s="1148"/>
      <c r="BA57" s="1148"/>
      <c r="BB57" s="1148"/>
      <c r="BC57" s="1148"/>
      <c r="BD57" s="1148"/>
      <c r="BE57" s="1148"/>
      <c r="BF57" s="1148"/>
      <c r="BG57" s="1148"/>
      <c r="BH57" s="1148"/>
      <c r="BI57" s="1148"/>
      <c r="BJ57" s="1148"/>
      <c r="BK57" s="1148"/>
      <c r="BL57" s="1148"/>
      <c r="BM57" s="1148"/>
      <c r="BN57" s="1148"/>
      <c r="BO57" s="1148"/>
      <c r="BP57" s="1148"/>
      <c r="BQ57" s="1148"/>
      <c r="BR57" s="1148"/>
      <c r="BS57" s="1148"/>
      <c r="BT57" s="1148"/>
      <c r="BU57" s="1148"/>
      <c r="BV57" s="1148"/>
      <c r="BW57" s="1148"/>
      <c r="BX57" s="1148"/>
      <c r="BY57" s="1148"/>
      <c r="BZ57" s="1148"/>
      <c r="CA57" s="1148"/>
      <c r="CB57" s="1148"/>
      <c r="CC57" s="1148"/>
      <c r="CD57" s="1148"/>
      <c r="CE57" s="1148"/>
      <c r="CF57" s="1148"/>
      <c r="CG57" s="1148"/>
      <c r="CH57" s="1148"/>
      <c r="CI57" s="1148"/>
      <c r="CJ57" s="1148"/>
      <c r="CK57" s="1148"/>
      <c r="CL57" s="1148"/>
      <c r="CM57" s="1148"/>
      <c r="CN57" s="1148"/>
      <c r="CO57" s="1148"/>
      <c r="CP57" s="1148"/>
      <c r="CQ57" s="1148"/>
      <c r="CR57" s="1148"/>
      <c r="CS57" s="1148"/>
      <c r="CT57" s="1148"/>
      <c r="CU57" s="1148"/>
      <c r="CV57" s="1148"/>
      <c r="CW57" s="1148"/>
      <c r="CX57" s="1148"/>
      <c r="CY57" s="1148"/>
      <c r="CZ57" s="1148"/>
      <c r="DA57" s="1148"/>
      <c r="DB57" s="1148"/>
      <c r="DC57" s="1148"/>
      <c r="DD57" s="1148"/>
      <c r="DE57" s="1148"/>
      <c r="DF57" s="1148"/>
      <c r="DG57" s="1148"/>
      <c r="DH57" s="1148"/>
      <c r="DI57" s="1148"/>
      <c r="DJ57" s="1148"/>
      <c r="DK57" s="1148"/>
      <c r="DL57" s="1148"/>
      <c r="DM57" s="1148"/>
      <c r="DN57" s="1148"/>
      <c r="DO57" s="1148"/>
      <c r="DP57" s="1148"/>
      <c r="DQ57" s="1148"/>
      <c r="DR57" s="1148"/>
      <c r="DS57" s="1148"/>
      <c r="DT57" s="1148"/>
      <c r="DU57" s="1148"/>
      <c r="DV57" s="1148"/>
      <c r="DW57" s="1148"/>
      <c r="DX57" s="1148"/>
      <c r="DY57" s="1148"/>
      <c r="DZ57" s="1148"/>
      <c r="EA57" s="1148"/>
    </row>
    <row r="58" spans="1:131" s="1149" customFormat="1" ht="35.1" customHeight="1">
      <c r="A58" s="1569"/>
      <c r="B58" s="1228" t="s">
        <v>801</v>
      </c>
      <c r="C58" s="1572"/>
      <c r="D58" s="1229"/>
      <c r="E58" s="1230">
        <v>0</v>
      </c>
      <c r="F58" s="1230"/>
      <c r="G58" s="1231"/>
      <c r="H58" s="1231"/>
      <c r="I58" s="1232">
        <f t="shared" si="112"/>
        <v>0</v>
      </c>
      <c r="J58" s="1233">
        <v>0</v>
      </c>
      <c r="K58" s="1234">
        <v>0</v>
      </c>
      <c r="L58" s="1234">
        <f>25965+80031</f>
        <v>105996</v>
      </c>
      <c r="M58" s="1235">
        <f t="shared" si="113"/>
        <v>105996</v>
      </c>
      <c r="N58" s="1233">
        <v>0</v>
      </c>
      <c r="O58" s="1234">
        <v>0</v>
      </c>
      <c r="P58" s="1234">
        <f>147135+453509</f>
        <v>600644</v>
      </c>
      <c r="Q58" s="1235">
        <f t="shared" si="114"/>
        <v>600644</v>
      </c>
      <c r="R58" s="1233">
        <f t="shared" si="115"/>
        <v>0</v>
      </c>
      <c r="S58" s="1234">
        <f t="shared" si="111"/>
        <v>0</v>
      </c>
      <c r="T58" s="1234">
        <f t="shared" si="111"/>
        <v>706640</v>
      </c>
      <c r="U58" s="1235">
        <f t="shared" si="116"/>
        <v>706640</v>
      </c>
      <c r="V58" s="1150"/>
      <c r="W58" s="1150"/>
      <c r="X58" s="1148"/>
      <c r="Y58" s="1148"/>
      <c r="Z58" s="1148"/>
      <c r="AA58" s="1148"/>
      <c r="AB58" s="1148"/>
      <c r="AC58" s="1148"/>
      <c r="AD58" s="1148"/>
      <c r="AE58" s="1148"/>
      <c r="AF58" s="1148"/>
      <c r="AG58" s="1148"/>
      <c r="AH58" s="1148"/>
      <c r="AI58" s="1148"/>
      <c r="AJ58" s="1148"/>
      <c r="AK58" s="1148"/>
      <c r="AL58" s="1148"/>
      <c r="AM58" s="1148"/>
      <c r="AN58" s="1148"/>
      <c r="AO58" s="1148"/>
      <c r="AP58" s="1148"/>
      <c r="AQ58" s="1148"/>
      <c r="AR58" s="1148"/>
      <c r="AS58" s="1148"/>
      <c r="AT58" s="1148"/>
      <c r="AU58" s="1148"/>
      <c r="AV58" s="1148"/>
      <c r="AW58" s="1148"/>
      <c r="AX58" s="1148"/>
      <c r="AY58" s="1148"/>
      <c r="AZ58" s="1148"/>
      <c r="BA58" s="1148"/>
      <c r="BB58" s="1148"/>
      <c r="BC58" s="1148"/>
      <c r="BD58" s="1148"/>
      <c r="BE58" s="1148"/>
      <c r="BF58" s="1148"/>
      <c r="BG58" s="1148"/>
      <c r="BH58" s="1148"/>
      <c r="BI58" s="1148"/>
      <c r="BJ58" s="1148"/>
      <c r="BK58" s="1148"/>
      <c r="BL58" s="1148"/>
      <c r="BM58" s="1148"/>
      <c r="BN58" s="1148"/>
      <c r="BO58" s="1148"/>
      <c r="BP58" s="1148"/>
      <c r="BQ58" s="1148"/>
      <c r="BR58" s="1148"/>
      <c r="BS58" s="1148"/>
      <c r="BT58" s="1148"/>
      <c r="BU58" s="1148"/>
      <c r="BV58" s="1148"/>
      <c r="BW58" s="1148"/>
      <c r="BX58" s="1148"/>
      <c r="BY58" s="1148"/>
      <c r="BZ58" s="1148"/>
      <c r="CA58" s="1148"/>
      <c r="CB58" s="1148"/>
      <c r="CC58" s="1148"/>
      <c r="CD58" s="1148"/>
      <c r="CE58" s="1148"/>
      <c r="CF58" s="1148"/>
      <c r="CG58" s="1148"/>
      <c r="CH58" s="1148"/>
      <c r="CI58" s="1148"/>
      <c r="CJ58" s="1148"/>
      <c r="CK58" s="1148"/>
      <c r="CL58" s="1148"/>
      <c r="CM58" s="1148"/>
      <c r="CN58" s="1148"/>
      <c r="CO58" s="1148"/>
      <c r="CP58" s="1148"/>
      <c r="CQ58" s="1148"/>
      <c r="CR58" s="1148"/>
      <c r="CS58" s="1148"/>
      <c r="CT58" s="1148"/>
      <c r="CU58" s="1148"/>
      <c r="CV58" s="1148"/>
      <c r="CW58" s="1148"/>
      <c r="CX58" s="1148"/>
      <c r="CY58" s="1148"/>
      <c r="CZ58" s="1148"/>
      <c r="DA58" s="1148"/>
      <c r="DB58" s="1148"/>
      <c r="DC58" s="1148"/>
      <c r="DD58" s="1148"/>
      <c r="DE58" s="1148"/>
      <c r="DF58" s="1148"/>
      <c r="DG58" s="1148"/>
      <c r="DH58" s="1148"/>
      <c r="DI58" s="1148"/>
      <c r="DJ58" s="1148"/>
      <c r="DK58" s="1148"/>
      <c r="DL58" s="1148"/>
      <c r="DM58" s="1148"/>
      <c r="DN58" s="1148"/>
      <c r="DO58" s="1148"/>
      <c r="DP58" s="1148"/>
      <c r="DQ58" s="1148"/>
      <c r="DR58" s="1148"/>
      <c r="DS58" s="1148"/>
      <c r="DT58" s="1148"/>
      <c r="DU58" s="1148"/>
      <c r="DV58" s="1148"/>
      <c r="DW58" s="1148"/>
      <c r="DX58" s="1148"/>
      <c r="DY58" s="1148"/>
      <c r="DZ58" s="1148"/>
      <c r="EA58" s="1148"/>
    </row>
    <row r="59" spans="1:131" s="1149" customFormat="1" ht="35.1" customHeight="1" thickBot="1">
      <c r="A59" s="1570"/>
      <c r="B59" s="1236" t="s">
        <v>802</v>
      </c>
      <c r="C59" s="1573"/>
      <c r="D59" s="1237"/>
      <c r="E59" s="1238">
        <v>0</v>
      </c>
      <c r="F59" s="1238">
        <f>F56+F57+F58</f>
        <v>0</v>
      </c>
      <c r="G59" s="1239">
        <f t="shared" ref="G59:H59" si="117">G56+G57+G58</f>
        <v>0</v>
      </c>
      <c r="H59" s="1239">
        <f t="shared" si="117"/>
        <v>0</v>
      </c>
      <c r="I59" s="1240">
        <f t="shared" si="112"/>
        <v>0</v>
      </c>
      <c r="J59" s="1241">
        <f>J56+J57+J58</f>
        <v>0</v>
      </c>
      <c r="K59" s="1242">
        <f t="shared" ref="K59:L59" si="118">K56+K57+K58</f>
        <v>0</v>
      </c>
      <c r="L59" s="1242">
        <f t="shared" si="118"/>
        <v>105996</v>
      </c>
      <c r="M59" s="1243">
        <f t="shared" si="113"/>
        <v>105996</v>
      </c>
      <c r="N59" s="1241">
        <f>N56+N57+N58</f>
        <v>0</v>
      </c>
      <c r="O59" s="1242">
        <f t="shared" ref="O59:P59" si="119">O56+O57+O58</f>
        <v>0</v>
      </c>
      <c r="P59" s="1242">
        <f t="shared" si="119"/>
        <v>600644</v>
      </c>
      <c r="Q59" s="1243">
        <f t="shared" si="114"/>
        <v>600644</v>
      </c>
      <c r="R59" s="1241">
        <f>R56+R57+R58</f>
        <v>0</v>
      </c>
      <c r="S59" s="1242">
        <f t="shared" ref="S59:T59" si="120">S56+S57+S58</f>
        <v>0</v>
      </c>
      <c r="T59" s="1242">
        <f t="shared" si="120"/>
        <v>706640</v>
      </c>
      <c r="U59" s="1243">
        <f t="shared" si="116"/>
        <v>706640</v>
      </c>
      <c r="V59" s="1150"/>
      <c r="W59" s="1150"/>
      <c r="X59" s="1148"/>
      <c r="Y59" s="1148"/>
      <c r="Z59" s="1148"/>
      <c r="AA59" s="1148"/>
      <c r="AB59" s="1148"/>
      <c r="AC59" s="1148"/>
      <c r="AD59" s="1148"/>
      <c r="AE59" s="1148"/>
      <c r="AF59" s="1148"/>
      <c r="AG59" s="1148"/>
      <c r="AH59" s="1148"/>
      <c r="AI59" s="1148"/>
      <c r="AJ59" s="1148"/>
      <c r="AK59" s="1148"/>
      <c r="AL59" s="1148"/>
      <c r="AM59" s="1148"/>
      <c r="AN59" s="1148"/>
      <c r="AO59" s="1148"/>
      <c r="AP59" s="1148"/>
      <c r="AQ59" s="1148"/>
      <c r="AR59" s="1148"/>
      <c r="AS59" s="1148"/>
      <c r="AT59" s="1148"/>
      <c r="AU59" s="1148"/>
      <c r="AV59" s="1148"/>
      <c r="AW59" s="1148"/>
      <c r="AX59" s="1148"/>
      <c r="AY59" s="1148"/>
      <c r="AZ59" s="1148"/>
      <c r="BA59" s="1148"/>
      <c r="BB59" s="1148"/>
      <c r="BC59" s="1148"/>
      <c r="BD59" s="1148"/>
      <c r="BE59" s="1148"/>
      <c r="BF59" s="1148"/>
      <c r="BG59" s="1148"/>
      <c r="BH59" s="1148"/>
      <c r="BI59" s="1148"/>
      <c r="BJ59" s="1148"/>
      <c r="BK59" s="1148"/>
      <c r="BL59" s="1148"/>
      <c r="BM59" s="1148"/>
      <c r="BN59" s="1148"/>
      <c r="BO59" s="1148"/>
      <c r="BP59" s="1148"/>
      <c r="BQ59" s="1148"/>
      <c r="BR59" s="1148"/>
      <c r="BS59" s="1148"/>
      <c r="BT59" s="1148"/>
      <c r="BU59" s="1148"/>
      <c r="BV59" s="1148"/>
      <c r="BW59" s="1148"/>
      <c r="BX59" s="1148"/>
      <c r="BY59" s="1148"/>
      <c r="BZ59" s="1148"/>
      <c r="CA59" s="1148"/>
      <c r="CB59" s="1148"/>
      <c r="CC59" s="1148"/>
      <c r="CD59" s="1148"/>
      <c r="CE59" s="1148"/>
      <c r="CF59" s="1148"/>
      <c r="CG59" s="1148"/>
      <c r="CH59" s="1148"/>
      <c r="CI59" s="1148"/>
      <c r="CJ59" s="1148"/>
      <c r="CK59" s="1148"/>
      <c r="CL59" s="1148"/>
      <c r="CM59" s="1148"/>
      <c r="CN59" s="1148"/>
      <c r="CO59" s="1148"/>
      <c r="CP59" s="1148"/>
      <c r="CQ59" s="1148"/>
      <c r="CR59" s="1148"/>
      <c r="CS59" s="1148"/>
      <c r="CT59" s="1148"/>
      <c r="CU59" s="1148"/>
      <c r="CV59" s="1148"/>
      <c r="CW59" s="1148"/>
      <c r="CX59" s="1148"/>
      <c r="CY59" s="1148"/>
      <c r="CZ59" s="1148"/>
      <c r="DA59" s="1148"/>
      <c r="DB59" s="1148"/>
      <c r="DC59" s="1148"/>
      <c r="DD59" s="1148"/>
      <c r="DE59" s="1148"/>
      <c r="DF59" s="1148"/>
      <c r="DG59" s="1148"/>
      <c r="DH59" s="1148"/>
      <c r="DI59" s="1148"/>
      <c r="DJ59" s="1148"/>
      <c r="DK59" s="1148"/>
      <c r="DL59" s="1148"/>
      <c r="DM59" s="1148"/>
      <c r="DN59" s="1148"/>
      <c r="DO59" s="1148"/>
      <c r="DP59" s="1148"/>
      <c r="DQ59" s="1148"/>
      <c r="DR59" s="1148"/>
      <c r="DS59" s="1148"/>
      <c r="DT59" s="1148"/>
      <c r="DU59" s="1148"/>
      <c r="DV59" s="1148"/>
      <c r="DW59" s="1148"/>
      <c r="DX59" s="1148"/>
      <c r="DY59" s="1148"/>
      <c r="DZ59" s="1148"/>
      <c r="EA59" s="1148"/>
    </row>
    <row r="60" spans="1:131" s="1149" customFormat="1" ht="35.1" customHeight="1">
      <c r="A60" s="1574" t="s">
        <v>803</v>
      </c>
      <c r="B60" s="1244" t="s">
        <v>52</v>
      </c>
      <c r="C60" s="1245"/>
      <c r="D60" s="1229">
        <f t="shared" si="1"/>
        <v>61115.69466975666</v>
      </c>
      <c r="E60" s="1230">
        <v>0</v>
      </c>
      <c r="F60" s="1230">
        <f>F12+F16+F20+F24+F28+F32+F36+F40+F44+F48+F52+F56</f>
        <v>1.127</v>
      </c>
      <c r="G60" s="1231">
        <f t="shared" ref="G60:H60" si="121">G12+G16+G20+G24+G28+G32+G36+G40+G44+G48+G52+G56</f>
        <v>0</v>
      </c>
      <c r="H60" s="1231">
        <f t="shared" si="121"/>
        <v>7.5030000000000001</v>
      </c>
      <c r="I60" s="1232">
        <f>F60+G60+H60</f>
        <v>8.6300000000000008</v>
      </c>
      <c r="J60" s="1233">
        <f>J12+J16+J20+J24+J28+J32+J36+J40+J44+J48+J52+J56</f>
        <v>705023.95000000007</v>
      </c>
      <c r="K60" s="1234">
        <f t="shared" ref="K60:L60" si="122">K12+K16+K20+K24+K28+K32+K36+K40+K44+K48+K52+K56</f>
        <v>0</v>
      </c>
      <c r="L60" s="1234">
        <f t="shared" si="122"/>
        <v>0</v>
      </c>
      <c r="M60" s="1235">
        <f>J60+K60+L60</f>
        <v>705023.95000000007</v>
      </c>
      <c r="N60" s="1233">
        <f t="shared" ref="N60:P63" si="123">N12+N16+N20+N24+N28+N32+N36+N40+N44+N48+N52+N56</f>
        <v>5624117.3900000006</v>
      </c>
      <c r="O60" s="1234">
        <f t="shared" si="123"/>
        <v>0</v>
      </c>
      <c r="P60" s="1234">
        <f t="shared" si="123"/>
        <v>0</v>
      </c>
      <c r="Q60" s="1235">
        <f>N60+O60+P60</f>
        <v>5624117.3900000006</v>
      </c>
      <c r="R60" s="1233">
        <f>J60+N60</f>
        <v>6329141.3400000008</v>
      </c>
      <c r="S60" s="1234">
        <f t="shared" ref="S60:U63" si="124">K60+O60</f>
        <v>0</v>
      </c>
      <c r="T60" s="1234">
        <f t="shared" si="124"/>
        <v>0</v>
      </c>
      <c r="U60" s="1235">
        <f t="shared" si="124"/>
        <v>6329141.3400000008</v>
      </c>
      <c r="V60" s="1148"/>
      <c r="W60" s="1148"/>
      <c r="X60" s="1148"/>
      <c r="Y60" s="1148"/>
      <c r="Z60" s="1148"/>
      <c r="AA60" s="1148"/>
      <c r="AB60" s="1148"/>
      <c r="AC60" s="1148"/>
      <c r="AD60" s="1148"/>
      <c r="AE60" s="1148"/>
      <c r="AF60" s="1148"/>
      <c r="AG60" s="1148"/>
      <c r="AH60" s="1148"/>
      <c r="AI60" s="1148"/>
      <c r="AJ60" s="1148"/>
      <c r="AK60" s="1148"/>
      <c r="AL60" s="1148"/>
      <c r="AM60" s="1148"/>
      <c r="AN60" s="1148"/>
      <c r="AO60" s="1148"/>
      <c r="AP60" s="1148"/>
      <c r="AQ60" s="1148"/>
      <c r="AR60" s="1148"/>
      <c r="AS60" s="1148"/>
      <c r="AT60" s="1148"/>
      <c r="AU60" s="1148"/>
      <c r="AV60" s="1148"/>
      <c r="AW60" s="1148"/>
      <c r="AX60" s="1148"/>
      <c r="AY60" s="1148"/>
      <c r="AZ60" s="1148"/>
      <c r="BA60" s="1148"/>
      <c r="BB60" s="1148"/>
      <c r="BC60" s="1148"/>
      <c r="BD60" s="1148"/>
      <c r="BE60" s="1148"/>
      <c r="BF60" s="1148"/>
      <c r="BG60" s="1148"/>
      <c r="BH60" s="1148"/>
      <c r="BI60" s="1148"/>
      <c r="BJ60" s="1148"/>
      <c r="BK60" s="1148"/>
      <c r="BL60" s="1148"/>
      <c r="BM60" s="1148"/>
      <c r="BN60" s="1148"/>
      <c r="BO60" s="1148"/>
      <c r="BP60" s="1148"/>
      <c r="BQ60" s="1148"/>
      <c r="BR60" s="1148"/>
      <c r="BS60" s="1148"/>
      <c r="BT60" s="1148"/>
      <c r="BU60" s="1148"/>
      <c r="BV60" s="1148"/>
      <c r="BW60" s="1148"/>
      <c r="BX60" s="1148"/>
      <c r="BY60" s="1148"/>
      <c r="BZ60" s="1148"/>
      <c r="CA60" s="1148"/>
      <c r="CB60" s="1148"/>
      <c r="CC60" s="1148"/>
      <c r="CD60" s="1148"/>
      <c r="CE60" s="1148"/>
      <c r="CF60" s="1148"/>
      <c r="CG60" s="1148"/>
      <c r="CH60" s="1148"/>
      <c r="CI60" s="1148"/>
      <c r="CJ60" s="1148"/>
      <c r="CK60" s="1148"/>
      <c r="CL60" s="1148"/>
      <c r="CM60" s="1148"/>
      <c r="CN60" s="1148"/>
      <c r="CO60" s="1148"/>
      <c r="CP60" s="1148"/>
      <c r="CQ60" s="1148"/>
      <c r="CR60" s="1148"/>
      <c r="CS60" s="1148"/>
      <c r="CT60" s="1148"/>
      <c r="CU60" s="1148"/>
      <c r="CV60" s="1148"/>
      <c r="CW60" s="1148"/>
      <c r="CX60" s="1148"/>
      <c r="CY60" s="1148"/>
      <c r="CZ60" s="1148"/>
      <c r="DA60" s="1148"/>
      <c r="DB60" s="1148"/>
      <c r="DC60" s="1148"/>
      <c r="DD60" s="1148"/>
      <c r="DE60" s="1148"/>
      <c r="DF60" s="1148"/>
      <c r="DG60" s="1148"/>
      <c r="DH60" s="1148"/>
      <c r="DI60" s="1148"/>
      <c r="DJ60" s="1148"/>
      <c r="DK60" s="1148"/>
      <c r="DL60" s="1148"/>
      <c r="DM60" s="1148"/>
      <c r="DN60" s="1148"/>
      <c r="DO60" s="1148"/>
      <c r="DP60" s="1148"/>
      <c r="DQ60" s="1148"/>
      <c r="DR60" s="1148"/>
      <c r="DS60" s="1148"/>
      <c r="DT60" s="1148"/>
      <c r="DU60" s="1148"/>
      <c r="DV60" s="1148"/>
      <c r="DW60" s="1148"/>
      <c r="DX60" s="1148"/>
      <c r="DY60" s="1148"/>
      <c r="DZ60" s="1148"/>
      <c r="EA60" s="1148"/>
    </row>
    <row r="61" spans="1:131" s="1149" customFormat="1" ht="35.1" customHeight="1">
      <c r="A61" s="1574"/>
      <c r="B61" s="1244" t="s">
        <v>800</v>
      </c>
      <c r="C61" s="1245"/>
      <c r="D61" s="1229">
        <f t="shared" si="1"/>
        <v>40344.313590419093</v>
      </c>
      <c r="E61" s="1230">
        <v>0</v>
      </c>
      <c r="F61" s="1230">
        <f t="shared" ref="F61:H63" si="125">F13+F17+F21+F25+F29+F33+F37+F41+F45+F49+F53+F57</f>
        <v>9.9660000000000011</v>
      </c>
      <c r="G61" s="1231">
        <f t="shared" si="125"/>
        <v>0</v>
      </c>
      <c r="H61" s="1231">
        <f t="shared" si="125"/>
        <v>64.432000000000002</v>
      </c>
      <c r="I61" s="1232">
        <f t="shared" ref="I61:I63" si="126">F61+G61+H61</f>
        <v>74.397999999999996</v>
      </c>
      <c r="J61" s="1233">
        <f t="shared" ref="J61:L63" si="127">J13+J17+J21+J25+J29+J33+J37+J41+J45+J49+J53+J57</f>
        <v>4929658.7700000005</v>
      </c>
      <c r="K61" s="1234">
        <f t="shared" si="127"/>
        <v>0</v>
      </c>
      <c r="L61" s="1234">
        <f t="shared" si="127"/>
        <v>0</v>
      </c>
      <c r="M61" s="1235">
        <f t="shared" ref="M61:M63" si="128">J61+K61+L61</f>
        <v>4929658.7700000005</v>
      </c>
      <c r="N61" s="1233">
        <f t="shared" si="123"/>
        <v>31088776.139999997</v>
      </c>
      <c r="O61" s="1234">
        <f t="shared" si="123"/>
        <v>0</v>
      </c>
      <c r="P61" s="1234">
        <f t="shared" si="123"/>
        <v>0</v>
      </c>
      <c r="Q61" s="1235">
        <f t="shared" ref="Q61:Q63" si="129">N61+O61+P61</f>
        <v>31088776.139999997</v>
      </c>
      <c r="R61" s="1233">
        <f t="shared" ref="R61:R63" si="130">J61+N61</f>
        <v>36018434.909999996</v>
      </c>
      <c r="S61" s="1234">
        <f t="shared" si="124"/>
        <v>0</v>
      </c>
      <c r="T61" s="1234">
        <f t="shared" si="124"/>
        <v>0</v>
      </c>
      <c r="U61" s="1235">
        <f t="shared" si="124"/>
        <v>36018434.909999996</v>
      </c>
      <c r="V61" s="1148"/>
      <c r="W61" s="1148"/>
      <c r="X61" s="1148"/>
      <c r="Y61" s="1148"/>
      <c r="Z61" s="1148"/>
      <c r="AA61" s="1148"/>
      <c r="AB61" s="1148"/>
      <c r="AC61" s="1148"/>
      <c r="AD61" s="1148"/>
      <c r="AE61" s="1148"/>
      <c r="AF61" s="1148"/>
      <c r="AG61" s="1148"/>
      <c r="AH61" s="1148"/>
      <c r="AI61" s="1148"/>
      <c r="AJ61" s="1148"/>
      <c r="AK61" s="1148"/>
      <c r="AL61" s="1148"/>
      <c r="AM61" s="1148"/>
      <c r="AN61" s="1148"/>
      <c r="AO61" s="1148"/>
      <c r="AP61" s="1148"/>
      <c r="AQ61" s="1148"/>
      <c r="AR61" s="1148"/>
      <c r="AS61" s="1148"/>
      <c r="AT61" s="1148"/>
      <c r="AU61" s="1148"/>
      <c r="AV61" s="1148"/>
      <c r="AW61" s="1148"/>
      <c r="AX61" s="1148"/>
      <c r="AY61" s="1148"/>
      <c r="AZ61" s="1148"/>
      <c r="BA61" s="1148"/>
      <c r="BB61" s="1148"/>
      <c r="BC61" s="1148"/>
      <c r="BD61" s="1148"/>
      <c r="BE61" s="1148"/>
      <c r="BF61" s="1148"/>
      <c r="BG61" s="1148"/>
      <c r="BH61" s="1148"/>
      <c r="BI61" s="1148"/>
      <c r="BJ61" s="1148"/>
      <c r="BK61" s="1148"/>
      <c r="BL61" s="1148"/>
      <c r="BM61" s="1148"/>
      <c r="BN61" s="1148"/>
      <c r="BO61" s="1148"/>
      <c r="BP61" s="1148"/>
      <c r="BQ61" s="1148"/>
      <c r="BR61" s="1148"/>
      <c r="BS61" s="1148"/>
      <c r="BT61" s="1148"/>
      <c r="BU61" s="1148"/>
      <c r="BV61" s="1148"/>
      <c r="BW61" s="1148"/>
      <c r="BX61" s="1148"/>
      <c r="BY61" s="1148"/>
      <c r="BZ61" s="1148"/>
      <c r="CA61" s="1148"/>
      <c r="CB61" s="1148"/>
      <c r="CC61" s="1148"/>
      <c r="CD61" s="1148"/>
      <c r="CE61" s="1148"/>
      <c r="CF61" s="1148"/>
      <c r="CG61" s="1148"/>
      <c r="CH61" s="1148"/>
      <c r="CI61" s="1148"/>
      <c r="CJ61" s="1148"/>
      <c r="CK61" s="1148"/>
      <c r="CL61" s="1148"/>
      <c r="CM61" s="1148"/>
      <c r="CN61" s="1148"/>
      <c r="CO61" s="1148"/>
      <c r="CP61" s="1148"/>
      <c r="CQ61" s="1148"/>
      <c r="CR61" s="1148"/>
      <c r="CS61" s="1148"/>
      <c r="CT61" s="1148"/>
      <c r="CU61" s="1148"/>
      <c r="CV61" s="1148"/>
      <c r="CW61" s="1148"/>
      <c r="CX61" s="1148"/>
      <c r="CY61" s="1148"/>
      <c r="CZ61" s="1148"/>
      <c r="DA61" s="1148"/>
      <c r="DB61" s="1148"/>
      <c r="DC61" s="1148"/>
      <c r="DD61" s="1148"/>
      <c r="DE61" s="1148"/>
      <c r="DF61" s="1148"/>
      <c r="DG61" s="1148"/>
      <c r="DH61" s="1148"/>
      <c r="DI61" s="1148"/>
      <c r="DJ61" s="1148"/>
      <c r="DK61" s="1148"/>
      <c r="DL61" s="1148"/>
      <c r="DM61" s="1148"/>
      <c r="DN61" s="1148"/>
      <c r="DO61" s="1148"/>
      <c r="DP61" s="1148"/>
      <c r="DQ61" s="1148"/>
      <c r="DR61" s="1148"/>
      <c r="DS61" s="1148"/>
      <c r="DT61" s="1148"/>
      <c r="DU61" s="1148"/>
      <c r="DV61" s="1148"/>
      <c r="DW61" s="1148"/>
      <c r="DX61" s="1148"/>
      <c r="DY61" s="1148"/>
      <c r="DZ61" s="1148"/>
      <c r="EA61" s="1148"/>
    </row>
    <row r="62" spans="1:131" s="1149" customFormat="1" ht="35.1" customHeight="1">
      <c r="A62" s="1574"/>
      <c r="B62" s="1244" t="s">
        <v>804</v>
      </c>
      <c r="C62" s="1245"/>
      <c r="D62" s="1229"/>
      <c r="E62" s="1230">
        <v>0</v>
      </c>
      <c r="F62" s="1230">
        <f t="shared" si="125"/>
        <v>0</v>
      </c>
      <c r="G62" s="1231">
        <f t="shared" si="125"/>
        <v>0</v>
      </c>
      <c r="H62" s="1231">
        <f t="shared" si="125"/>
        <v>0</v>
      </c>
      <c r="I62" s="1232">
        <f t="shared" si="126"/>
        <v>0</v>
      </c>
      <c r="J62" s="1233">
        <f t="shared" si="127"/>
        <v>0</v>
      </c>
      <c r="K62" s="1234">
        <f t="shared" si="127"/>
        <v>0</v>
      </c>
      <c r="L62" s="1234">
        <f t="shared" si="127"/>
        <v>2767597.56</v>
      </c>
      <c r="M62" s="1235">
        <f t="shared" si="128"/>
        <v>2767597.56</v>
      </c>
      <c r="N62" s="1233">
        <f t="shared" si="123"/>
        <v>0</v>
      </c>
      <c r="O62" s="1234">
        <f t="shared" si="123"/>
        <v>0</v>
      </c>
      <c r="P62" s="1234">
        <f t="shared" si="123"/>
        <v>15087246.439999998</v>
      </c>
      <c r="Q62" s="1235">
        <f t="shared" si="129"/>
        <v>15087246.439999998</v>
      </c>
      <c r="R62" s="1233">
        <f t="shared" si="130"/>
        <v>0</v>
      </c>
      <c r="S62" s="1234">
        <f t="shared" si="124"/>
        <v>0</v>
      </c>
      <c r="T62" s="1234">
        <f t="shared" si="124"/>
        <v>17854843.999999996</v>
      </c>
      <c r="U62" s="1235">
        <f t="shared" si="124"/>
        <v>17854843.999999996</v>
      </c>
      <c r="V62" s="1148"/>
      <c r="W62" s="1148"/>
      <c r="X62" s="1148"/>
      <c r="Y62" s="1148"/>
      <c r="Z62" s="1148"/>
      <c r="AA62" s="1148"/>
      <c r="AB62" s="1148"/>
      <c r="AC62" s="1148"/>
      <c r="AD62" s="1148"/>
      <c r="AE62" s="1148"/>
      <c r="AF62" s="1148"/>
      <c r="AG62" s="1148"/>
      <c r="AH62" s="1148"/>
      <c r="AI62" s="1148"/>
      <c r="AJ62" s="1148"/>
      <c r="AK62" s="1148"/>
      <c r="AL62" s="1148"/>
      <c r="AM62" s="1148"/>
      <c r="AN62" s="1148"/>
      <c r="AO62" s="1148"/>
      <c r="AP62" s="1148"/>
      <c r="AQ62" s="1148"/>
      <c r="AR62" s="1148"/>
      <c r="AS62" s="1148"/>
      <c r="AT62" s="1148"/>
      <c r="AU62" s="1148"/>
      <c r="AV62" s="1148"/>
      <c r="AW62" s="1148"/>
      <c r="AX62" s="1148"/>
      <c r="AY62" s="1148"/>
      <c r="AZ62" s="1148"/>
      <c r="BA62" s="1148"/>
      <c r="BB62" s="1148"/>
      <c r="BC62" s="1148"/>
      <c r="BD62" s="1148"/>
      <c r="BE62" s="1148"/>
      <c r="BF62" s="1148"/>
      <c r="BG62" s="1148"/>
      <c r="BH62" s="1148"/>
      <c r="BI62" s="1148"/>
      <c r="BJ62" s="1148"/>
      <c r="BK62" s="1148"/>
      <c r="BL62" s="1148"/>
      <c r="BM62" s="1148"/>
      <c r="BN62" s="1148"/>
      <c r="BO62" s="1148"/>
      <c r="BP62" s="1148"/>
      <c r="BQ62" s="1148"/>
      <c r="BR62" s="1148"/>
      <c r="BS62" s="1148"/>
      <c r="BT62" s="1148"/>
      <c r="BU62" s="1148"/>
      <c r="BV62" s="1148"/>
      <c r="BW62" s="1148"/>
      <c r="BX62" s="1148"/>
      <c r="BY62" s="1148"/>
      <c r="BZ62" s="1148"/>
      <c r="CA62" s="1148"/>
      <c r="CB62" s="1148"/>
      <c r="CC62" s="1148"/>
      <c r="CD62" s="1148"/>
      <c r="CE62" s="1148"/>
      <c r="CF62" s="1148"/>
      <c r="CG62" s="1148"/>
      <c r="CH62" s="1148"/>
      <c r="CI62" s="1148"/>
      <c r="CJ62" s="1148"/>
      <c r="CK62" s="1148"/>
      <c r="CL62" s="1148"/>
      <c r="CM62" s="1148"/>
      <c r="CN62" s="1148"/>
      <c r="CO62" s="1148"/>
      <c r="CP62" s="1148"/>
      <c r="CQ62" s="1148"/>
      <c r="CR62" s="1148"/>
      <c r="CS62" s="1148"/>
      <c r="CT62" s="1148"/>
      <c r="CU62" s="1148"/>
      <c r="CV62" s="1148"/>
      <c r="CW62" s="1148"/>
      <c r="CX62" s="1148"/>
      <c r="CY62" s="1148"/>
      <c r="CZ62" s="1148"/>
      <c r="DA62" s="1148"/>
      <c r="DB62" s="1148"/>
      <c r="DC62" s="1148"/>
      <c r="DD62" s="1148"/>
      <c r="DE62" s="1148"/>
      <c r="DF62" s="1148"/>
      <c r="DG62" s="1148"/>
      <c r="DH62" s="1148"/>
      <c r="DI62" s="1148"/>
      <c r="DJ62" s="1148"/>
      <c r="DK62" s="1148"/>
      <c r="DL62" s="1148"/>
      <c r="DM62" s="1148"/>
      <c r="DN62" s="1148"/>
      <c r="DO62" s="1148"/>
      <c r="DP62" s="1148"/>
      <c r="DQ62" s="1148"/>
      <c r="DR62" s="1148"/>
      <c r="DS62" s="1148"/>
      <c r="DT62" s="1148"/>
      <c r="DU62" s="1148"/>
      <c r="DV62" s="1148"/>
      <c r="DW62" s="1148"/>
      <c r="DX62" s="1148"/>
      <c r="DY62" s="1148"/>
      <c r="DZ62" s="1148"/>
      <c r="EA62" s="1148"/>
    </row>
    <row r="63" spans="1:131" s="1149" customFormat="1" ht="35.1" customHeight="1" thickBot="1">
      <c r="A63" s="1575"/>
      <c r="B63" s="1151" t="s">
        <v>802</v>
      </c>
      <c r="C63" s="1246"/>
      <c r="D63" s="1247">
        <f t="shared" si="1"/>
        <v>42503.308371874547</v>
      </c>
      <c r="E63" s="1248">
        <v>0</v>
      </c>
      <c r="F63" s="1248">
        <f t="shared" si="125"/>
        <v>11.092999999999998</v>
      </c>
      <c r="G63" s="1249">
        <f t="shared" si="125"/>
        <v>0</v>
      </c>
      <c r="H63" s="1249">
        <f t="shared" si="125"/>
        <v>71.935000000000002</v>
      </c>
      <c r="I63" s="1250">
        <f t="shared" si="126"/>
        <v>83.028000000000006</v>
      </c>
      <c r="J63" s="1251">
        <f t="shared" si="127"/>
        <v>5634682.7199999997</v>
      </c>
      <c r="K63" s="1252">
        <f t="shared" si="127"/>
        <v>0</v>
      </c>
      <c r="L63" s="1252">
        <f t="shared" si="127"/>
        <v>2767597.56</v>
      </c>
      <c r="M63" s="1253">
        <f t="shared" si="128"/>
        <v>8402280.2799999993</v>
      </c>
      <c r="N63" s="1251">
        <f t="shared" si="123"/>
        <v>36712893.530000001</v>
      </c>
      <c r="O63" s="1252">
        <f t="shared" si="123"/>
        <v>0</v>
      </c>
      <c r="P63" s="1252">
        <f t="shared" si="123"/>
        <v>15087246.439999998</v>
      </c>
      <c r="Q63" s="1253">
        <f t="shared" si="129"/>
        <v>51800139.969999999</v>
      </c>
      <c r="R63" s="1251">
        <f t="shared" si="130"/>
        <v>42347576.25</v>
      </c>
      <c r="S63" s="1252">
        <f t="shared" si="124"/>
        <v>0</v>
      </c>
      <c r="T63" s="1252">
        <f t="shared" si="124"/>
        <v>17854843.999999996</v>
      </c>
      <c r="U63" s="1253">
        <f t="shared" si="124"/>
        <v>60202420.25</v>
      </c>
      <c r="V63" s="1148"/>
      <c r="W63" s="1148"/>
      <c r="X63" s="1148"/>
      <c r="Y63" s="1148"/>
      <c r="Z63" s="1148"/>
      <c r="AA63" s="1148"/>
      <c r="AB63" s="1148"/>
      <c r="AC63" s="1148"/>
      <c r="AD63" s="1148"/>
      <c r="AE63" s="1148"/>
      <c r="AF63" s="1148"/>
      <c r="AG63" s="1148"/>
      <c r="AH63" s="1148"/>
      <c r="AI63" s="1148"/>
      <c r="AJ63" s="1148"/>
      <c r="AK63" s="1148"/>
      <c r="AL63" s="1148"/>
      <c r="AM63" s="1148"/>
      <c r="AN63" s="1148"/>
      <c r="AO63" s="1148"/>
      <c r="AP63" s="1148"/>
      <c r="AQ63" s="1148"/>
      <c r="AR63" s="1148"/>
      <c r="AS63" s="1148"/>
      <c r="AT63" s="1148"/>
      <c r="AU63" s="1148"/>
      <c r="AV63" s="1148"/>
      <c r="AW63" s="1148"/>
      <c r="AX63" s="1148"/>
      <c r="AY63" s="1148"/>
      <c r="AZ63" s="1148"/>
      <c r="BA63" s="1148"/>
      <c r="BB63" s="1148"/>
      <c r="BC63" s="1148"/>
      <c r="BD63" s="1148"/>
      <c r="BE63" s="1148"/>
      <c r="BF63" s="1148"/>
      <c r="BG63" s="1148"/>
      <c r="BH63" s="1148"/>
      <c r="BI63" s="1148"/>
      <c r="BJ63" s="1148"/>
      <c r="BK63" s="1148"/>
      <c r="BL63" s="1148"/>
      <c r="BM63" s="1148"/>
      <c r="BN63" s="1148"/>
      <c r="BO63" s="1148"/>
      <c r="BP63" s="1148"/>
      <c r="BQ63" s="1148"/>
      <c r="BR63" s="1148"/>
      <c r="BS63" s="1148"/>
      <c r="BT63" s="1148"/>
      <c r="BU63" s="1148"/>
      <c r="BV63" s="1148"/>
      <c r="BW63" s="1148"/>
      <c r="BX63" s="1148"/>
      <c r="BY63" s="1148"/>
      <c r="BZ63" s="1148"/>
      <c r="CA63" s="1148"/>
      <c r="CB63" s="1148"/>
      <c r="CC63" s="1148"/>
      <c r="CD63" s="1148"/>
      <c r="CE63" s="1148"/>
      <c r="CF63" s="1148"/>
      <c r="CG63" s="1148"/>
      <c r="CH63" s="1148"/>
      <c r="CI63" s="1148"/>
      <c r="CJ63" s="1148"/>
      <c r="CK63" s="1148"/>
      <c r="CL63" s="1148"/>
      <c r="CM63" s="1148"/>
      <c r="CN63" s="1148"/>
      <c r="CO63" s="1148"/>
      <c r="CP63" s="1148"/>
      <c r="CQ63" s="1148"/>
      <c r="CR63" s="1148"/>
      <c r="CS63" s="1148"/>
      <c r="CT63" s="1148"/>
      <c r="CU63" s="1148"/>
      <c r="CV63" s="1148"/>
      <c r="CW63" s="1148"/>
      <c r="CX63" s="1148"/>
      <c r="CY63" s="1148"/>
      <c r="CZ63" s="1148"/>
      <c r="DA63" s="1148"/>
      <c r="DB63" s="1148"/>
      <c r="DC63" s="1148"/>
      <c r="DD63" s="1148"/>
      <c r="DE63" s="1148"/>
      <c r="DF63" s="1148"/>
      <c r="DG63" s="1148"/>
      <c r="DH63" s="1148"/>
      <c r="DI63" s="1148"/>
      <c r="DJ63" s="1148"/>
      <c r="DK63" s="1148"/>
      <c r="DL63" s="1148"/>
      <c r="DM63" s="1148"/>
      <c r="DN63" s="1148"/>
      <c r="DO63" s="1148"/>
      <c r="DP63" s="1148"/>
      <c r="DQ63" s="1148"/>
      <c r="DR63" s="1148"/>
      <c r="DS63" s="1148"/>
      <c r="DT63" s="1148"/>
      <c r="DU63" s="1148"/>
      <c r="DV63" s="1148"/>
      <c r="DW63" s="1148"/>
      <c r="DX63" s="1148"/>
      <c r="DY63" s="1148"/>
      <c r="DZ63" s="1148"/>
      <c r="EA63" s="1148"/>
    </row>
    <row r="64" spans="1:131" s="1149" customFormat="1" ht="19.5" customHeight="1">
      <c r="A64" s="1152"/>
      <c r="B64" s="1153"/>
      <c r="C64" s="1153"/>
      <c r="D64" s="1153"/>
      <c r="E64" s="1153"/>
      <c r="F64" s="1154"/>
      <c r="G64" s="1154"/>
      <c r="H64" s="1154"/>
      <c r="I64" s="1154"/>
      <c r="J64" s="1154"/>
      <c r="K64" s="1154"/>
      <c r="L64" s="1153"/>
      <c r="M64" s="1153"/>
      <c r="N64" s="1154"/>
      <c r="O64" s="1154"/>
      <c r="P64" s="1155"/>
      <c r="Q64" s="1153"/>
      <c r="R64" s="1154"/>
      <c r="S64" s="1154"/>
      <c r="T64" s="1153"/>
      <c r="U64" s="1156"/>
      <c r="V64" s="1148"/>
      <c r="W64" s="1148"/>
      <c r="X64" s="1148"/>
      <c r="Y64" s="1148"/>
      <c r="Z64" s="1148"/>
      <c r="AA64" s="1148"/>
      <c r="AB64" s="1148"/>
      <c r="AC64" s="1148"/>
      <c r="AD64" s="1148"/>
      <c r="AE64" s="1148"/>
      <c r="AF64" s="1148"/>
      <c r="AG64" s="1148"/>
      <c r="AH64" s="1148"/>
      <c r="AI64" s="1148"/>
      <c r="AJ64" s="1148"/>
      <c r="AK64" s="1148"/>
      <c r="AL64" s="1148"/>
      <c r="AM64" s="1148"/>
      <c r="AN64" s="1148"/>
      <c r="AO64" s="1148"/>
      <c r="AP64" s="1148"/>
      <c r="AQ64" s="1148"/>
      <c r="AR64" s="1148"/>
      <c r="AS64" s="1148"/>
      <c r="AT64" s="1148"/>
      <c r="AU64" s="1148"/>
      <c r="AV64" s="1148"/>
      <c r="AW64" s="1148"/>
      <c r="AX64" s="1148"/>
      <c r="AY64" s="1148"/>
      <c r="AZ64" s="1148"/>
      <c r="BA64" s="1148"/>
      <c r="BB64" s="1148"/>
      <c r="BC64" s="1148"/>
      <c r="BD64" s="1148"/>
      <c r="BE64" s="1148"/>
      <c r="BF64" s="1148"/>
      <c r="BG64" s="1148"/>
      <c r="BH64" s="1148"/>
      <c r="BI64" s="1148"/>
      <c r="BJ64" s="1148"/>
      <c r="BK64" s="1148"/>
      <c r="BL64" s="1148"/>
      <c r="BM64" s="1148"/>
      <c r="BN64" s="1148"/>
      <c r="BO64" s="1148"/>
      <c r="BP64" s="1148"/>
      <c r="BQ64" s="1148"/>
      <c r="BR64" s="1148"/>
      <c r="BS64" s="1148"/>
      <c r="BT64" s="1148"/>
      <c r="BU64" s="1148"/>
      <c r="BV64" s="1148"/>
      <c r="BW64" s="1148"/>
      <c r="BX64" s="1148"/>
      <c r="BY64" s="1148"/>
      <c r="BZ64" s="1148"/>
      <c r="CA64" s="1148"/>
      <c r="CB64" s="1148"/>
      <c r="CC64" s="1148"/>
      <c r="CD64" s="1148"/>
      <c r="CE64" s="1148"/>
      <c r="CF64" s="1148"/>
      <c r="CG64" s="1148"/>
      <c r="CH64" s="1148"/>
      <c r="CI64" s="1148"/>
      <c r="CJ64" s="1148"/>
      <c r="CK64" s="1148"/>
      <c r="CL64" s="1148"/>
      <c r="CM64" s="1148"/>
      <c r="CN64" s="1148"/>
      <c r="CO64" s="1148"/>
      <c r="CP64" s="1148"/>
      <c r="CQ64" s="1148"/>
      <c r="CR64" s="1148"/>
      <c r="CS64" s="1148"/>
      <c r="CT64" s="1148"/>
      <c r="CU64" s="1148"/>
      <c r="CV64" s="1148"/>
      <c r="CW64" s="1148"/>
      <c r="CX64" s="1148"/>
      <c r="CY64" s="1148"/>
      <c r="CZ64" s="1148"/>
      <c r="DA64" s="1148"/>
      <c r="DB64" s="1148"/>
      <c r="DC64" s="1148"/>
      <c r="DD64" s="1148"/>
      <c r="DE64" s="1148"/>
      <c r="DF64" s="1148"/>
      <c r="DG64" s="1148"/>
      <c r="DH64" s="1148"/>
      <c r="DI64" s="1148"/>
      <c r="DJ64" s="1148"/>
      <c r="DK64" s="1148"/>
      <c r="DL64" s="1148"/>
      <c r="DM64" s="1148"/>
      <c r="DN64" s="1148"/>
      <c r="DO64" s="1148"/>
      <c r="DP64" s="1148"/>
      <c r="DQ64" s="1148"/>
      <c r="DR64" s="1148"/>
      <c r="DS64" s="1148"/>
      <c r="DT64" s="1148"/>
      <c r="DU64" s="1148"/>
      <c r="DV64" s="1148"/>
      <c r="DW64" s="1148"/>
      <c r="DX64" s="1148"/>
      <c r="DY64" s="1148"/>
      <c r="DZ64" s="1148"/>
      <c r="EA64" s="1148"/>
    </row>
    <row r="65" spans="1:131" s="1157" customFormat="1" ht="40.5" hidden="1" customHeight="1">
      <c r="A65" s="1536" t="s">
        <v>805</v>
      </c>
      <c r="B65" s="1536"/>
      <c r="C65" s="1536"/>
      <c r="D65" s="1536"/>
      <c r="E65" s="1536"/>
      <c r="F65" s="1536"/>
      <c r="G65" s="1536"/>
      <c r="H65" s="1536"/>
      <c r="I65" s="1536"/>
      <c r="J65" s="1536"/>
      <c r="K65" s="1536"/>
      <c r="L65" s="1536"/>
      <c r="M65" s="1536"/>
      <c r="N65" s="1536"/>
      <c r="O65" s="1536"/>
      <c r="P65" s="1536"/>
      <c r="Q65" s="1536"/>
      <c r="R65" s="1536"/>
      <c r="S65" s="1536"/>
      <c r="T65" s="1536"/>
      <c r="U65" s="1536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</row>
    <row r="66" spans="1:131" s="1157" customFormat="1" ht="30" hidden="1" customHeight="1">
      <c r="A66" s="1158" t="s">
        <v>806</v>
      </c>
      <c r="B66" s="1158"/>
      <c r="C66" s="1158"/>
      <c r="D66" s="1158"/>
      <c r="E66" s="1158"/>
      <c r="F66" s="1158"/>
      <c r="G66" s="1158"/>
      <c r="H66" s="1158"/>
      <c r="I66" s="1158"/>
      <c r="J66" s="1159"/>
      <c r="K66" s="1159"/>
      <c r="L66" s="1159"/>
      <c r="M66" s="1160"/>
      <c r="N66" s="1159"/>
      <c r="O66" s="1159"/>
      <c r="P66" s="1159"/>
      <c r="Q66" s="1159"/>
      <c r="R66" s="1159"/>
      <c r="S66" s="1161"/>
      <c r="T66" s="1161"/>
      <c r="U66" s="1161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</row>
    <row r="67" spans="1:131" s="1157" customFormat="1" ht="30" hidden="1" customHeight="1">
      <c r="A67" s="1158" t="s">
        <v>807</v>
      </c>
      <c r="B67" s="1158"/>
      <c r="C67" s="1158"/>
      <c r="D67" s="1158"/>
      <c r="E67" s="1158"/>
      <c r="F67" s="1158"/>
      <c r="G67" s="1158"/>
      <c r="H67" s="1158"/>
      <c r="I67" s="1158"/>
      <c r="J67" s="1158"/>
      <c r="K67" s="1158"/>
      <c r="L67" s="1158"/>
      <c r="M67" s="1162"/>
      <c r="N67" s="1158"/>
      <c r="O67" s="1158"/>
      <c r="P67" s="1158"/>
      <c r="Q67" s="1158"/>
      <c r="R67" s="1158"/>
      <c r="S67" s="1158"/>
      <c r="T67" s="1158"/>
      <c r="U67" s="1163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32"/>
      <c r="EA67" s="32"/>
    </row>
    <row r="68" spans="1:131" s="1157" customFormat="1" ht="30" hidden="1" customHeight="1">
      <c r="A68" s="1158" t="s">
        <v>808</v>
      </c>
      <c r="B68" s="1158"/>
      <c r="C68" s="1158"/>
      <c r="D68" s="1158"/>
      <c r="E68" s="1158"/>
      <c r="F68" s="1158"/>
      <c r="G68" s="1158"/>
      <c r="H68" s="1158"/>
      <c r="I68" s="1158"/>
      <c r="J68" s="1159"/>
      <c r="K68" s="1159"/>
      <c r="L68" s="1159"/>
      <c r="M68" s="1160"/>
      <c r="N68" s="1159"/>
      <c r="O68" s="1160"/>
      <c r="P68" s="1159"/>
      <c r="Q68" s="1159"/>
      <c r="R68" s="1159"/>
      <c r="S68" s="1164"/>
      <c r="T68" s="1164"/>
      <c r="U68" s="1164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32"/>
      <c r="CW68" s="32"/>
      <c r="CX68" s="32"/>
      <c r="CY68" s="32"/>
      <c r="CZ68" s="32"/>
      <c r="DA68" s="32"/>
      <c r="DB68" s="32"/>
      <c r="DC68" s="32"/>
      <c r="DD68" s="32"/>
      <c r="DE68" s="32"/>
      <c r="DF68" s="32"/>
      <c r="DG68" s="32"/>
      <c r="DH68" s="32"/>
      <c r="DI68" s="32"/>
      <c r="DJ68" s="32"/>
      <c r="DK68" s="32"/>
      <c r="DL68" s="32"/>
      <c r="DM68" s="32"/>
      <c r="DN68" s="32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32"/>
      <c r="EA68" s="32"/>
    </row>
    <row r="69" spans="1:131" s="1157" customFormat="1" ht="30" hidden="1" customHeight="1">
      <c r="A69" s="1159" t="s">
        <v>809</v>
      </c>
      <c r="B69" s="1164"/>
      <c r="C69" s="1164"/>
      <c r="D69" s="1164"/>
      <c r="E69" s="1164"/>
      <c r="F69" s="1164"/>
      <c r="G69" s="1164"/>
      <c r="H69" s="1164"/>
      <c r="I69" s="1164"/>
      <c r="J69" s="1164"/>
      <c r="K69" s="1164"/>
      <c r="L69" s="1164"/>
      <c r="M69" s="1164"/>
      <c r="N69" s="1164"/>
      <c r="O69" s="1164"/>
      <c r="P69" s="1164"/>
      <c r="Q69" s="1164"/>
      <c r="R69" s="1164"/>
      <c r="S69" s="1161"/>
      <c r="T69" s="1161"/>
      <c r="U69" s="1161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2"/>
      <c r="CZ69" s="32"/>
      <c r="DA69" s="32"/>
      <c r="DB69" s="32"/>
      <c r="DC69" s="32"/>
      <c r="DD69" s="32"/>
      <c r="DE69" s="32"/>
      <c r="DF69" s="32"/>
      <c r="DG69" s="32"/>
      <c r="DH69" s="32"/>
      <c r="DI69" s="32"/>
      <c r="DJ69" s="32"/>
      <c r="DK69" s="32"/>
      <c r="DL69" s="32"/>
      <c r="DM69" s="32"/>
      <c r="DN69" s="32"/>
      <c r="DO69" s="32"/>
      <c r="DP69" s="32"/>
      <c r="DQ69" s="32"/>
      <c r="DR69" s="32"/>
      <c r="DS69" s="32"/>
      <c r="DT69" s="32"/>
      <c r="DU69" s="32"/>
      <c r="DV69" s="32"/>
      <c r="DW69" s="32"/>
      <c r="DX69" s="32"/>
      <c r="DY69" s="32"/>
      <c r="DZ69" s="32"/>
      <c r="EA69" s="32"/>
    </row>
    <row r="70" spans="1:131" s="1157" customFormat="1" ht="30" hidden="1" customHeight="1">
      <c r="A70" s="1165" t="s">
        <v>810</v>
      </c>
      <c r="B70" s="1166"/>
      <c r="C70" s="1166"/>
      <c r="D70" s="1166"/>
      <c r="E70" s="1166"/>
      <c r="F70" s="1166"/>
      <c r="G70" s="1166"/>
      <c r="H70" s="1166"/>
      <c r="I70" s="1166"/>
      <c r="J70" s="1166"/>
      <c r="K70" s="1166"/>
      <c r="L70" s="1166"/>
      <c r="M70" s="1160"/>
      <c r="N70" s="1159"/>
      <c r="O70" s="1159"/>
      <c r="P70" s="1159"/>
      <c r="Q70" s="1159"/>
      <c r="R70" s="1159"/>
      <c r="S70" s="1161"/>
      <c r="T70" s="1161"/>
      <c r="U70" s="1161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2"/>
      <c r="DG70" s="32"/>
      <c r="DH70" s="32"/>
      <c r="DI70" s="32"/>
      <c r="DJ70" s="32"/>
      <c r="DK70" s="32"/>
      <c r="DL70" s="32"/>
      <c r="DM70" s="32"/>
      <c r="DN70" s="32"/>
      <c r="DO70" s="32"/>
      <c r="DP70" s="32"/>
      <c r="DQ70" s="32"/>
      <c r="DR70" s="32"/>
      <c r="DS70" s="32"/>
      <c r="DT70" s="32"/>
      <c r="DU70" s="32"/>
      <c r="DV70" s="32"/>
      <c r="DW70" s="32"/>
      <c r="DX70" s="32"/>
      <c r="DY70" s="32"/>
      <c r="DZ70" s="32"/>
      <c r="EA70" s="32"/>
    </row>
    <row r="71" spans="1:131" s="1157" customFormat="1" ht="30" hidden="1" customHeight="1">
      <c r="A71" s="1158" t="s">
        <v>811</v>
      </c>
      <c r="B71" s="1167"/>
      <c r="C71" s="1167"/>
      <c r="D71" s="1167"/>
      <c r="E71" s="1167"/>
      <c r="F71" s="1167"/>
      <c r="G71" s="1167"/>
      <c r="H71" s="1167"/>
      <c r="I71" s="1167"/>
      <c r="J71" s="1167"/>
      <c r="K71" s="1167"/>
      <c r="L71" s="1167"/>
      <c r="M71" s="1159"/>
      <c r="N71" s="1159"/>
      <c r="O71" s="1159"/>
      <c r="P71" s="1159"/>
      <c r="Q71" s="1159"/>
      <c r="R71" s="1159"/>
      <c r="S71" s="1161"/>
      <c r="T71" s="1161"/>
      <c r="U71" s="1161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2"/>
      <c r="DJ71" s="32"/>
      <c r="DK71" s="32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32"/>
      <c r="EA71" s="32"/>
    </row>
    <row r="72" spans="1:131" s="1157" customFormat="1" ht="30" hidden="1" customHeight="1">
      <c r="A72" s="1158" t="s">
        <v>812</v>
      </c>
      <c r="B72" s="1159"/>
      <c r="C72" s="1159"/>
      <c r="D72" s="1159"/>
      <c r="E72" s="1159"/>
      <c r="F72" s="1159"/>
      <c r="G72" s="1159"/>
      <c r="H72" s="1159"/>
      <c r="I72" s="1159"/>
      <c r="J72" s="1159"/>
      <c r="K72" s="1159"/>
      <c r="L72" s="1159"/>
      <c r="M72" s="1159"/>
      <c r="N72" s="1159"/>
      <c r="O72" s="1159"/>
      <c r="P72" s="1159"/>
      <c r="Q72" s="1159"/>
      <c r="R72" s="1159"/>
      <c r="S72" s="1161"/>
      <c r="T72" s="1161"/>
      <c r="U72" s="1161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</row>
    <row r="73" spans="1:131" s="1157" customFormat="1" ht="30" hidden="1" customHeight="1">
      <c r="A73" s="1165" t="s">
        <v>813</v>
      </c>
      <c r="B73" s="1166"/>
      <c r="C73" s="1166"/>
      <c r="D73" s="1159"/>
      <c r="E73" s="1159"/>
      <c r="F73" s="1159"/>
      <c r="G73" s="1159"/>
      <c r="H73" s="1159"/>
      <c r="I73" s="1159"/>
      <c r="J73" s="1159"/>
      <c r="K73" s="1159"/>
      <c r="L73" s="1159"/>
      <c r="M73" s="1159"/>
      <c r="N73" s="1159"/>
      <c r="O73" s="1159"/>
      <c r="P73" s="1159"/>
      <c r="Q73" s="1159"/>
      <c r="R73" s="1159"/>
      <c r="S73" s="1161"/>
      <c r="T73" s="1161"/>
      <c r="U73" s="1161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32"/>
      <c r="EA73" s="32"/>
    </row>
    <row r="74" spans="1:131" s="1157" customFormat="1" ht="30" hidden="1" customHeight="1">
      <c r="A74" s="1168" t="s">
        <v>728</v>
      </c>
      <c r="B74" s="1159"/>
      <c r="C74" s="1159"/>
      <c r="D74" s="1159"/>
      <c r="E74" s="1159"/>
      <c r="F74" s="1159"/>
      <c r="G74" s="1159"/>
      <c r="H74" s="1159"/>
      <c r="I74" s="1159"/>
      <c r="J74" s="1159"/>
      <c r="K74" s="1159"/>
      <c r="L74" s="1159"/>
      <c r="M74" s="1159"/>
      <c r="N74" s="1159"/>
      <c r="O74" s="1159"/>
      <c r="P74" s="1159"/>
      <c r="Q74" s="1159"/>
      <c r="R74" s="1159"/>
      <c r="S74" s="1161"/>
      <c r="T74" s="1161"/>
      <c r="U74" s="1161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32"/>
      <c r="EA74" s="32"/>
    </row>
    <row r="75" spans="1:131" s="1157" customFormat="1" ht="30" hidden="1" customHeight="1">
      <c r="A75" s="1168" t="s">
        <v>814</v>
      </c>
      <c r="B75" s="1159"/>
      <c r="C75" s="1159"/>
      <c r="D75" s="1159"/>
      <c r="E75" s="1159"/>
      <c r="F75" s="1159"/>
      <c r="G75" s="1159"/>
      <c r="H75" s="1159"/>
      <c r="I75" s="1159"/>
      <c r="J75" s="1159"/>
      <c r="K75" s="1159"/>
      <c r="L75" s="1159"/>
      <c r="M75" s="1159"/>
      <c r="N75" s="1159"/>
      <c r="O75" s="1159"/>
      <c r="P75" s="1159"/>
      <c r="Q75" s="1159"/>
      <c r="R75" s="1159"/>
      <c r="S75" s="1161"/>
      <c r="T75" s="1161"/>
      <c r="U75" s="1161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32"/>
      <c r="EA75" s="32"/>
    </row>
    <row r="76" spans="1:131" s="1157" customFormat="1" ht="30" customHeight="1">
      <c r="A76" s="1169"/>
      <c r="B76" s="1159"/>
      <c r="C76" s="1159"/>
      <c r="D76" s="1159"/>
      <c r="E76" s="1159"/>
      <c r="F76" s="1159"/>
      <c r="G76" s="1159"/>
      <c r="H76" s="1159"/>
      <c r="I76" s="1159"/>
      <c r="J76" s="1159"/>
      <c r="K76" s="1159"/>
      <c r="L76" s="1159"/>
      <c r="M76" s="1159"/>
      <c r="N76" s="1159"/>
      <c r="O76" s="1159"/>
      <c r="P76" s="1159"/>
      <c r="Q76" s="1159"/>
      <c r="R76" s="1159"/>
      <c r="S76" s="1161"/>
      <c r="T76" s="1161"/>
      <c r="U76" s="1161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32"/>
      <c r="EA76" s="32"/>
    </row>
    <row r="77" spans="1:131" s="1182" customFormat="1" ht="23.25" customHeight="1">
      <c r="A77" s="1283" t="s">
        <v>831</v>
      </c>
      <c r="B77" s="1283"/>
      <c r="C77" s="1283"/>
      <c r="D77" s="1283"/>
      <c r="E77" s="1283"/>
      <c r="F77" s="1283"/>
      <c r="G77" s="1283"/>
      <c r="H77" s="1284" t="s">
        <v>816</v>
      </c>
      <c r="I77" s="1284"/>
      <c r="J77" s="1284"/>
      <c r="K77" s="1284"/>
      <c r="L77" s="1179"/>
      <c r="M77" s="1179"/>
      <c r="N77" s="1179"/>
      <c r="O77" s="1179"/>
      <c r="Q77" s="1179"/>
      <c r="R77" s="1179" t="s">
        <v>830</v>
      </c>
      <c r="S77" s="1180"/>
      <c r="T77" s="1180"/>
      <c r="U77" s="1180"/>
      <c r="V77" s="1181"/>
      <c r="W77" s="1181"/>
      <c r="X77" s="1181"/>
      <c r="Y77" s="1181"/>
      <c r="Z77" s="1181"/>
      <c r="AA77" s="1181"/>
      <c r="AB77" s="1181"/>
      <c r="AC77" s="1181"/>
      <c r="AD77" s="1181"/>
      <c r="AE77" s="1181"/>
      <c r="AF77" s="1181"/>
      <c r="AG77" s="1181"/>
      <c r="AH77" s="1181"/>
      <c r="AI77" s="1181"/>
      <c r="AJ77" s="1181"/>
      <c r="AK77" s="1181"/>
      <c r="AL77" s="1181"/>
      <c r="AM77" s="1181"/>
      <c r="AN77" s="1181"/>
      <c r="AO77" s="1181"/>
      <c r="AP77" s="1181"/>
      <c r="AQ77" s="1181"/>
      <c r="AR77" s="1181"/>
      <c r="AS77" s="1181"/>
      <c r="AT77" s="1181"/>
      <c r="AU77" s="1181"/>
      <c r="AV77" s="1181"/>
      <c r="AW77" s="1181"/>
      <c r="AX77" s="1181"/>
      <c r="AY77" s="1181"/>
      <c r="AZ77" s="1181"/>
      <c r="BA77" s="1181"/>
      <c r="BB77" s="1181"/>
      <c r="BC77" s="1181"/>
      <c r="BD77" s="1181"/>
      <c r="BE77" s="1181"/>
      <c r="BF77" s="1181"/>
      <c r="BG77" s="1181"/>
      <c r="BH77" s="1181"/>
      <c r="BI77" s="1181"/>
      <c r="BJ77" s="1181"/>
      <c r="BK77" s="1181"/>
      <c r="BL77" s="1181"/>
      <c r="BM77" s="1181"/>
      <c r="BN77" s="1181"/>
      <c r="BO77" s="1181"/>
      <c r="BP77" s="1181"/>
      <c r="BQ77" s="1181"/>
      <c r="BR77" s="1181"/>
      <c r="BS77" s="1181"/>
      <c r="BT77" s="1181"/>
      <c r="BU77" s="1181"/>
      <c r="BV77" s="1181"/>
      <c r="BW77" s="1181"/>
      <c r="BX77" s="1181"/>
      <c r="BY77" s="1181"/>
      <c r="BZ77" s="1181"/>
      <c r="CA77" s="1181"/>
      <c r="CB77" s="1181"/>
      <c r="CC77" s="1181"/>
      <c r="CD77" s="1181"/>
      <c r="CE77" s="1181"/>
      <c r="CF77" s="1181"/>
      <c r="CG77" s="1181"/>
      <c r="CH77" s="1181"/>
      <c r="CI77" s="1181"/>
      <c r="CJ77" s="1181"/>
      <c r="CK77" s="1181"/>
      <c r="CL77" s="1181"/>
      <c r="CM77" s="1181"/>
      <c r="CN77" s="1181"/>
      <c r="CO77" s="1181"/>
      <c r="CP77" s="1181"/>
      <c r="CQ77" s="1181"/>
      <c r="CR77" s="1181"/>
      <c r="CS77" s="1181"/>
      <c r="CT77" s="1181"/>
      <c r="CU77" s="1181"/>
      <c r="CV77" s="1181"/>
      <c r="CW77" s="1181"/>
      <c r="CX77" s="1181"/>
      <c r="CY77" s="1181"/>
      <c r="CZ77" s="1181"/>
      <c r="DA77" s="1181"/>
      <c r="DB77" s="1181"/>
      <c r="DC77" s="1181"/>
      <c r="DD77" s="1181"/>
      <c r="DE77" s="1181"/>
      <c r="DF77" s="1181"/>
      <c r="DG77" s="1181"/>
      <c r="DH77" s="1181"/>
      <c r="DI77" s="1181"/>
      <c r="DJ77" s="1181"/>
      <c r="DK77" s="1181"/>
      <c r="DL77" s="1181"/>
      <c r="DM77" s="1181"/>
      <c r="DN77" s="1181"/>
      <c r="DO77" s="1181"/>
      <c r="DP77" s="1181"/>
      <c r="DQ77" s="1181"/>
      <c r="DR77" s="1181"/>
      <c r="DS77" s="1181"/>
      <c r="DT77" s="1181"/>
      <c r="DU77" s="1181"/>
      <c r="DV77" s="1181"/>
      <c r="DW77" s="1181"/>
      <c r="DX77" s="1181"/>
      <c r="DY77" s="1181"/>
      <c r="DZ77" s="1181"/>
      <c r="EA77" s="1181"/>
    </row>
    <row r="78" spans="1:131" s="1157" customFormat="1" ht="25.5" customHeight="1">
      <c r="A78" s="1254"/>
      <c r="B78" s="1254"/>
      <c r="C78" s="1254"/>
      <c r="D78" s="1254"/>
      <c r="E78" s="1254"/>
      <c r="F78" s="1254"/>
      <c r="G78" s="1254"/>
      <c r="H78" s="1255"/>
      <c r="I78" s="1255"/>
      <c r="J78" s="1255"/>
      <c r="K78" s="1255"/>
      <c r="L78" s="1171"/>
      <c r="M78" s="1171"/>
      <c r="N78" s="1171"/>
      <c r="O78" s="1171"/>
      <c r="P78" s="1171"/>
      <c r="Q78" s="1171"/>
      <c r="R78" s="1171"/>
      <c r="S78" s="1161"/>
      <c r="T78" s="1161"/>
      <c r="U78" s="1161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32"/>
      <c r="DX78" s="32"/>
      <c r="DY78" s="32"/>
      <c r="DZ78" s="32"/>
      <c r="EA78" s="32"/>
    </row>
    <row r="79" spans="1:131" s="1157" customFormat="1" ht="24.75" customHeight="1">
      <c r="A79" s="1173"/>
      <c r="B79" s="1174"/>
      <c r="C79" s="1174"/>
      <c r="D79" s="1175"/>
      <c r="E79" s="1176"/>
      <c r="F79" s="1177"/>
      <c r="G79" s="1177"/>
      <c r="H79" s="1177"/>
      <c r="I79" s="1177"/>
      <c r="J79" s="1176"/>
      <c r="K79" s="1176"/>
      <c r="L79" s="1176"/>
      <c r="M79" s="1176"/>
      <c r="N79" s="1176"/>
      <c r="O79" s="1176"/>
      <c r="P79" s="1176"/>
      <c r="Q79" s="1176"/>
      <c r="R79" s="1176"/>
      <c r="S79" s="1176"/>
      <c r="T79" s="1176"/>
      <c r="U79" s="1176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32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32"/>
      <c r="DX79" s="32"/>
      <c r="DY79" s="32"/>
      <c r="DZ79" s="32"/>
      <c r="EA79" s="32"/>
    </row>
    <row r="83" spans="1:1" ht="20.25">
      <c r="A83" s="1169"/>
    </row>
    <row r="84" spans="1:1" ht="20.25">
      <c r="A84" s="1169"/>
    </row>
  </sheetData>
  <mergeCells count="55">
    <mergeCell ref="A1:U1"/>
    <mergeCell ref="T2:U2"/>
    <mergeCell ref="A4:U4"/>
    <mergeCell ref="A6:A11"/>
    <mergeCell ref="B6:B11"/>
    <mergeCell ref="C6:C11"/>
    <mergeCell ref="D6:D10"/>
    <mergeCell ref="E6:E10"/>
    <mergeCell ref="F6:I7"/>
    <mergeCell ref="J6:U6"/>
    <mergeCell ref="J7:M7"/>
    <mergeCell ref="N7:Q7"/>
    <mergeCell ref="R7:U7"/>
    <mergeCell ref="F8:F10"/>
    <mergeCell ref="G8:G10"/>
    <mergeCell ref="H8:H10"/>
    <mergeCell ref="I8:I10"/>
    <mergeCell ref="J8:J10"/>
    <mergeCell ref="K8:K10"/>
    <mergeCell ref="L8:L10"/>
    <mergeCell ref="A16:A19"/>
    <mergeCell ref="C16:C19"/>
    <mergeCell ref="M8:M10"/>
    <mergeCell ref="N8:N10"/>
    <mergeCell ref="O8:O10"/>
    <mergeCell ref="S8:S10"/>
    <mergeCell ref="T8:T10"/>
    <mergeCell ref="U8:U10"/>
    <mergeCell ref="A12:A15"/>
    <mergeCell ref="C12:C15"/>
    <mergeCell ref="P8:P10"/>
    <mergeCell ref="Q8:Q10"/>
    <mergeCell ref="R8:R10"/>
    <mergeCell ref="A20:A23"/>
    <mergeCell ref="C20:C23"/>
    <mergeCell ref="A24:A27"/>
    <mergeCell ref="C24:C27"/>
    <mergeCell ref="A28:A31"/>
    <mergeCell ref="C28:C31"/>
    <mergeCell ref="A32:A35"/>
    <mergeCell ref="C32:C35"/>
    <mergeCell ref="A36:A39"/>
    <mergeCell ref="C36:C39"/>
    <mergeCell ref="A40:A43"/>
    <mergeCell ref="C40:C43"/>
    <mergeCell ref="A56:A59"/>
    <mergeCell ref="C56:C59"/>
    <mergeCell ref="A60:A63"/>
    <mergeCell ref="A65:U65"/>
    <mergeCell ref="A44:A47"/>
    <mergeCell ref="C44:C47"/>
    <mergeCell ref="A48:A51"/>
    <mergeCell ref="C48:C51"/>
    <mergeCell ref="A52:A55"/>
    <mergeCell ref="C52:C55"/>
  </mergeCells>
  <printOptions horizontalCentered="1"/>
  <pageMargins left="0.39370078740157483" right="0.39370078740157483" top="0.78740157480314965" bottom="0.78740157480314965" header="0.59055118110236227" footer="0.39370078740157483"/>
  <pageSetup paperSize="9" scale="30" fitToHeight="2" orientation="landscape" blackAndWhite="1" r:id="rId1"/>
  <headerFooter>
    <oddHeader>&amp;R&amp;"Arial CE,Tučné"&amp;22Tabulka č. 9/a
&amp;"Arial CE,Obyčejné"List č. &amp;P/&amp;N</oddHeader>
    <oddFooter xml:space="preserve">&amp;C&amp;20&amp;P+25&amp;10
</oddFooter>
  </headerFooter>
  <rowBreaks count="1" manualBreakCount="1">
    <brk id="4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EA44"/>
  <sheetViews>
    <sheetView showGridLines="0" zoomScale="53" zoomScaleNormal="53" workbookViewId="0">
      <selection activeCell="A37" sqref="A37:XFD37"/>
    </sheetView>
  </sheetViews>
  <sheetFormatPr defaultColWidth="9.140625" defaultRowHeight="15"/>
  <cols>
    <col min="1" max="1" width="59.5703125" style="29" customWidth="1"/>
    <col min="2" max="2" width="35.5703125" style="29" customWidth="1"/>
    <col min="3" max="3" width="17.85546875" style="29" customWidth="1"/>
    <col min="4" max="4" width="16.5703125" style="29" customWidth="1"/>
    <col min="5" max="5" width="15.5703125" style="29" customWidth="1"/>
    <col min="6" max="6" width="22.7109375" style="29" customWidth="1"/>
    <col min="7" max="7" width="16.28515625" style="29" customWidth="1"/>
    <col min="8" max="8" width="19.28515625" style="29" customWidth="1"/>
    <col min="9" max="9" width="14.5703125" style="29" customWidth="1"/>
    <col min="10" max="10" width="16.140625" style="29" customWidth="1"/>
    <col min="11" max="11" width="15.140625" style="29" customWidth="1"/>
    <col min="12" max="12" width="19.28515625" style="29" customWidth="1"/>
    <col min="13" max="13" width="18.42578125" style="29" customWidth="1"/>
    <col min="14" max="14" width="16" style="29" customWidth="1"/>
    <col min="15" max="15" width="16.85546875" style="29" bestFit="1" customWidth="1"/>
    <col min="16" max="16" width="19.28515625" style="29" customWidth="1"/>
    <col min="17" max="17" width="21" style="29" customWidth="1"/>
    <col min="18" max="18" width="16.140625" style="29" customWidth="1"/>
    <col min="19" max="19" width="14.42578125" style="29" customWidth="1"/>
    <col min="20" max="20" width="19.28515625" style="29" customWidth="1"/>
    <col min="21" max="21" width="20.42578125" style="29" customWidth="1"/>
    <col min="22" max="22" width="13.5703125" style="32" bestFit="1" customWidth="1"/>
    <col min="23" max="131" width="9.140625" style="32" customWidth="1"/>
    <col min="132" max="16384" width="9.140625" style="29"/>
  </cols>
  <sheetData>
    <row r="1" spans="1:131" ht="20.100000000000001" customHeight="1">
      <c r="A1" s="1583"/>
      <c r="B1" s="1583"/>
      <c r="C1" s="1583"/>
      <c r="D1" s="1583"/>
      <c r="E1" s="1583"/>
      <c r="F1" s="1583"/>
      <c r="G1" s="1583"/>
      <c r="H1" s="1583"/>
      <c r="I1" s="1583"/>
      <c r="J1" s="1583"/>
      <c r="K1" s="1583"/>
      <c r="L1" s="1583"/>
      <c r="M1" s="1583"/>
      <c r="N1" s="1583"/>
      <c r="O1" s="1583"/>
      <c r="P1" s="1583"/>
      <c r="Q1" s="1583"/>
      <c r="R1" s="1583"/>
      <c r="S1" s="1583"/>
      <c r="T1" s="1583"/>
      <c r="U1" s="1583"/>
    </row>
    <row r="2" spans="1:131" ht="20.100000000000001" customHeight="1">
      <c r="A2" s="1288" t="s">
        <v>821</v>
      </c>
      <c r="B2" s="1136"/>
      <c r="C2" s="1136"/>
      <c r="D2" s="1136"/>
      <c r="E2" s="1136"/>
      <c r="F2" s="1136"/>
      <c r="G2" s="1136"/>
      <c r="H2" s="1136"/>
      <c r="I2" s="1136"/>
      <c r="J2" s="1136"/>
      <c r="K2" s="1136"/>
      <c r="L2" s="1136"/>
      <c r="M2" s="1136"/>
      <c r="N2" s="1136"/>
      <c r="O2" s="1136"/>
      <c r="P2" s="1136"/>
      <c r="Q2" s="1136"/>
      <c r="R2" s="1136"/>
      <c r="S2" s="1136"/>
      <c r="T2" s="1548"/>
      <c r="U2" s="1548"/>
    </row>
    <row r="3" spans="1:131" ht="24" customHeight="1">
      <c r="A3" s="1282" t="s">
        <v>825</v>
      </c>
      <c r="B3" s="1136"/>
      <c r="C3" s="1136"/>
      <c r="D3" s="1136"/>
      <c r="E3" s="1136"/>
      <c r="F3" s="1136"/>
      <c r="G3" s="1136"/>
      <c r="H3" s="1136"/>
      <c r="I3" s="1136"/>
      <c r="J3" s="1136"/>
      <c r="K3" s="1136"/>
      <c r="L3" s="1136"/>
      <c r="M3" s="1136"/>
      <c r="N3" s="1136"/>
      <c r="O3" s="1136"/>
      <c r="P3" s="1136"/>
      <c r="Q3" s="1136"/>
      <c r="R3" s="1136"/>
      <c r="S3" s="1136"/>
      <c r="T3" s="1219"/>
      <c r="U3" s="1219"/>
    </row>
    <row r="4" spans="1:131" ht="79.5" customHeight="1">
      <c r="A4" s="1549" t="s">
        <v>818</v>
      </c>
      <c r="B4" s="1549"/>
      <c r="C4" s="1549"/>
      <c r="D4" s="1549"/>
      <c r="E4" s="1549"/>
      <c r="F4" s="1549"/>
      <c r="G4" s="1549"/>
      <c r="H4" s="1549"/>
      <c r="I4" s="1549"/>
      <c r="J4" s="1549"/>
      <c r="K4" s="1549"/>
      <c r="L4" s="1549"/>
      <c r="M4" s="1549"/>
      <c r="N4" s="1549"/>
      <c r="O4" s="1549"/>
      <c r="P4" s="1549"/>
      <c r="Q4" s="1549"/>
      <c r="R4" s="1549"/>
      <c r="S4" s="1549"/>
      <c r="T4" s="1549"/>
      <c r="U4" s="1549"/>
    </row>
    <row r="5" spans="1:131" ht="43.5" customHeight="1" thickBot="1">
      <c r="A5" s="1138"/>
      <c r="B5" s="1138"/>
      <c r="C5" s="1138"/>
      <c r="D5" s="1138"/>
      <c r="E5" s="1138"/>
      <c r="F5" s="1138"/>
      <c r="G5" s="1138"/>
      <c r="H5" s="1138"/>
      <c r="I5" s="1138"/>
      <c r="J5" s="1138"/>
      <c r="K5" s="1138"/>
      <c r="L5" s="1138"/>
      <c r="M5" s="1138"/>
      <c r="N5" s="1138"/>
      <c r="O5" s="1138"/>
      <c r="P5" s="1138"/>
      <c r="Q5" s="1138"/>
      <c r="R5" s="1138"/>
      <c r="S5" s="1138"/>
      <c r="T5" s="1138"/>
      <c r="U5" s="1138"/>
    </row>
    <row r="6" spans="1:131" ht="45.75" customHeight="1">
      <c r="A6" s="1550"/>
      <c r="B6" s="1553" t="s">
        <v>782</v>
      </c>
      <c r="C6" s="1553" t="s">
        <v>783</v>
      </c>
      <c r="D6" s="1553" t="s">
        <v>784</v>
      </c>
      <c r="E6" s="1553" t="s">
        <v>785</v>
      </c>
      <c r="F6" s="1585" t="s">
        <v>786</v>
      </c>
      <c r="G6" s="1586"/>
      <c r="H6" s="1586"/>
      <c r="I6" s="1586"/>
      <c r="J6" s="1589" t="s">
        <v>787</v>
      </c>
      <c r="K6" s="1590"/>
      <c r="L6" s="1590"/>
      <c r="M6" s="1590"/>
      <c r="N6" s="1590"/>
      <c r="O6" s="1590"/>
      <c r="P6" s="1590"/>
      <c r="Q6" s="1590"/>
      <c r="R6" s="1590"/>
      <c r="S6" s="1590"/>
      <c r="T6" s="1590"/>
      <c r="U6" s="1591"/>
    </row>
    <row r="7" spans="1:131" ht="51.75" customHeight="1">
      <c r="A7" s="1551"/>
      <c r="B7" s="1554"/>
      <c r="C7" s="1554"/>
      <c r="D7" s="1554"/>
      <c r="E7" s="1554"/>
      <c r="F7" s="1587"/>
      <c r="G7" s="1588"/>
      <c r="H7" s="1588"/>
      <c r="I7" s="1588"/>
      <c r="J7" s="1580" t="s">
        <v>788</v>
      </c>
      <c r="K7" s="1581"/>
      <c r="L7" s="1581"/>
      <c r="M7" s="1582"/>
      <c r="N7" s="1580" t="s">
        <v>789</v>
      </c>
      <c r="O7" s="1581"/>
      <c r="P7" s="1581"/>
      <c r="Q7" s="1582"/>
      <c r="R7" s="1581" t="s">
        <v>17</v>
      </c>
      <c r="S7" s="1581"/>
      <c r="T7" s="1581"/>
      <c r="U7" s="1582"/>
    </row>
    <row r="8" spans="1:131" ht="21" customHeight="1">
      <c r="A8" s="1551"/>
      <c r="B8" s="1554"/>
      <c r="C8" s="1554"/>
      <c r="D8" s="1554"/>
      <c r="E8" s="1554"/>
      <c r="F8" s="1567" t="s">
        <v>790</v>
      </c>
      <c r="G8" s="1567" t="s">
        <v>791</v>
      </c>
      <c r="H8" s="1567" t="s">
        <v>792</v>
      </c>
      <c r="I8" s="1527" t="s">
        <v>17</v>
      </c>
      <c r="J8" s="1530" t="s">
        <v>793</v>
      </c>
      <c r="K8" s="1533" t="s">
        <v>794</v>
      </c>
      <c r="L8" s="1533" t="s">
        <v>795</v>
      </c>
      <c r="M8" s="1537" t="s">
        <v>17</v>
      </c>
      <c r="N8" s="1530" t="s">
        <v>793</v>
      </c>
      <c r="O8" s="1533" t="s">
        <v>794</v>
      </c>
      <c r="P8" s="1533" t="s">
        <v>795</v>
      </c>
      <c r="Q8" s="1537" t="s">
        <v>17</v>
      </c>
      <c r="R8" s="1524" t="s">
        <v>793</v>
      </c>
      <c r="S8" s="1533" t="s">
        <v>794</v>
      </c>
      <c r="T8" s="1533" t="s">
        <v>795</v>
      </c>
      <c r="U8" s="1537" t="s">
        <v>17</v>
      </c>
    </row>
    <row r="9" spans="1:131" ht="12.75" customHeight="1">
      <c r="A9" s="1551"/>
      <c r="B9" s="1554"/>
      <c r="C9" s="1554"/>
      <c r="D9" s="1554"/>
      <c r="E9" s="1554"/>
      <c r="F9" s="1554"/>
      <c r="G9" s="1554"/>
      <c r="H9" s="1554"/>
      <c r="I9" s="1528"/>
      <c r="J9" s="1531"/>
      <c r="K9" s="1534"/>
      <c r="L9" s="1534"/>
      <c r="M9" s="1538"/>
      <c r="N9" s="1531"/>
      <c r="O9" s="1534"/>
      <c r="P9" s="1534"/>
      <c r="Q9" s="1538"/>
      <c r="R9" s="1525"/>
      <c r="S9" s="1534"/>
      <c r="T9" s="1534"/>
      <c r="U9" s="1538"/>
    </row>
    <row r="10" spans="1:131" ht="134.25" customHeight="1">
      <c r="A10" s="1551"/>
      <c r="B10" s="1554"/>
      <c r="C10" s="1554"/>
      <c r="D10" s="1556"/>
      <c r="E10" s="1556"/>
      <c r="F10" s="1556"/>
      <c r="G10" s="1556"/>
      <c r="H10" s="1556"/>
      <c r="I10" s="1529"/>
      <c r="J10" s="1532"/>
      <c r="K10" s="1535"/>
      <c r="L10" s="1535"/>
      <c r="M10" s="1539"/>
      <c r="N10" s="1532"/>
      <c r="O10" s="1535"/>
      <c r="P10" s="1535"/>
      <c r="Q10" s="1539"/>
      <c r="R10" s="1526"/>
      <c r="S10" s="1535"/>
      <c r="T10" s="1535"/>
      <c r="U10" s="1539"/>
    </row>
    <row r="11" spans="1:131" s="1149" customFormat="1" ht="44.25" customHeight="1" thickBot="1">
      <c r="A11" s="1552"/>
      <c r="B11" s="1555"/>
      <c r="C11" s="1555"/>
      <c r="D11" s="1139">
        <v>1</v>
      </c>
      <c r="E11" s="1139">
        <v>2</v>
      </c>
      <c r="F11" s="1140">
        <v>3</v>
      </c>
      <c r="G11" s="1140">
        <v>4</v>
      </c>
      <c r="H11" s="1140">
        <v>5</v>
      </c>
      <c r="I11" s="1141" t="s">
        <v>796</v>
      </c>
      <c r="J11" s="1142">
        <v>7</v>
      </c>
      <c r="K11" s="1143">
        <v>8</v>
      </c>
      <c r="L11" s="1144">
        <v>9</v>
      </c>
      <c r="M11" s="1145" t="s">
        <v>797</v>
      </c>
      <c r="N11" s="1142">
        <v>11</v>
      </c>
      <c r="O11" s="1146">
        <v>12</v>
      </c>
      <c r="P11" s="1147">
        <v>13</v>
      </c>
      <c r="Q11" s="1145" t="s">
        <v>798</v>
      </c>
      <c r="R11" s="1143">
        <v>15</v>
      </c>
      <c r="S11" s="1143">
        <v>16</v>
      </c>
      <c r="T11" s="1144">
        <v>17</v>
      </c>
      <c r="U11" s="1145" t="s">
        <v>799</v>
      </c>
      <c r="V11" s="1148"/>
      <c r="W11" s="1148"/>
      <c r="X11" s="1148"/>
      <c r="Y11" s="1148"/>
      <c r="Z11" s="1148"/>
      <c r="AA11" s="1148"/>
      <c r="AB11" s="1148"/>
      <c r="AC11" s="1148"/>
      <c r="AD11" s="1148"/>
      <c r="AE11" s="1148"/>
      <c r="AF11" s="1148"/>
      <c r="AG11" s="1148"/>
      <c r="AH11" s="1148"/>
      <c r="AI11" s="1148"/>
      <c r="AJ11" s="1148"/>
      <c r="AK11" s="1148"/>
      <c r="AL11" s="1148"/>
      <c r="AM11" s="1148"/>
      <c r="AN11" s="1148"/>
      <c r="AO11" s="1148"/>
      <c r="AP11" s="1148"/>
      <c r="AQ11" s="1148"/>
      <c r="AR11" s="1148"/>
      <c r="AS11" s="1148"/>
      <c r="AT11" s="1148"/>
      <c r="AU11" s="1148"/>
      <c r="AV11" s="1148"/>
      <c r="AW11" s="1148"/>
      <c r="AX11" s="1148"/>
      <c r="AY11" s="1148"/>
      <c r="AZ11" s="1148"/>
      <c r="BA11" s="1148"/>
      <c r="BB11" s="1148"/>
      <c r="BC11" s="1148"/>
      <c r="BD11" s="1148"/>
      <c r="BE11" s="1148"/>
      <c r="BF11" s="1148"/>
      <c r="BG11" s="1148"/>
      <c r="BH11" s="1148"/>
      <c r="BI11" s="1148"/>
      <c r="BJ11" s="1148"/>
      <c r="BK11" s="1148"/>
      <c r="BL11" s="1148"/>
      <c r="BM11" s="1148"/>
      <c r="BN11" s="1148"/>
      <c r="BO11" s="1148"/>
      <c r="BP11" s="1148"/>
      <c r="BQ11" s="1148"/>
      <c r="BR11" s="1148"/>
      <c r="BS11" s="1148"/>
      <c r="BT11" s="1148"/>
      <c r="BU11" s="1148"/>
      <c r="BV11" s="1148"/>
      <c r="BW11" s="1148"/>
      <c r="BX11" s="1148"/>
      <c r="BY11" s="1148"/>
      <c r="BZ11" s="1148"/>
      <c r="CA11" s="1148"/>
      <c r="CB11" s="1148"/>
      <c r="CC11" s="1148"/>
      <c r="CD11" s="1148"/>
      <c r="CE11" s="1148"/>
      <c r="CF11" s="1148"/>
      <c r="CG11" s="1148"/>
      <c r="CH11" s="1148"/>
      <c r="CI11" s="1148"/>
      <c r="CJ11" s="1148"/>
      <c r="CK11" s="1148"/>
      <c r="CL11" s="1148"/>
      <c r="CM11" s="1148"/>
      <c r="CN11" s="1148"/>
      <c r="CO11" s="1148"/>
      <c r="CP11" s="1148"/>
      <c r="CQ11" s="1148"/>
      <c r="CR11" s="1148"/>
      <c r="CS11" s="1148"/>
      <c r="CT11" s="1148"/>
      <c r="CU11" s="1148"/>
      <c r="CV11" s="1148"/>
      <c r="CW11" s="1148"/>
      <c r="CX11" s="1148"/>
      <c r="CY11" s="1148"/>
      <c r="CZ11" s="1148"/>
      <c r="DA11" s="1148"/>
      <c r="DB11" s="1148"/>
      <c r="DC11" s="1148"/>
      <c r="DD11" s="1148"/>
      <c r="DE11" s="1148"/>
      <c r="DF11" s="1148"/>
      <c r="DG11" s="1148"/>
      <c r="DH11" s="1148"/>
      <c r="DI11" s="1148"/>
      <c r="DJ11" s="1148"/>
      <c r="DK11" s="1148"/>
      <c r="DL11" s="1148"/>
      <c r="DM11" s="1148"/>
      <c r="DN11" s="1148"/>
      <c r="DO11" s="1148"/>
      <c r="DP11" s="1148"/>
      <c r="DQ11" s="1148"/>
      <c r="DR11" s="1148"/>
      <c r="DS11" s="1148"/>
      <c r="DT11" s="1148"/>
      <c r="DU11" s="1148"/>
      <c r="DV11" s="1148"/>
      <c r="DW11" s="1148"/>
      <c r="DX11" s="1148"/>
      <c r="DY11" s="1148"/>
      <c r="DZ11" s="1148"/>
      <c r="EA11" s="1148"/>
    </row>
    <row r="12" spans="1:131" s="1149" customFormat="1" ht="35.1" customHeight="1">
      <c r="A12" s="1568" t="s">
        <v>823</v>
      </c>
      <c r="B12" s="1220" t="s">
        <v>52</v>
      </c>
      <c r="C12" s="1256"/>
      <c r="D12" s="1221"/>
      <c r="E12" s="1222"/>
      <c r="F12" s="1222"/>
      <c r="G12" s="1223"/>
      <c r="H12" s="1223"/>
      <c r="I12" s="1224"/>
      <c r="J12" s="1221"/>
      <c r="K12" s="1257"/>
      <c r="L12" s="1257"/>
      <c r="M12" s="1258"/>
      <c r="N12" s="1221"/>
      <c r="O12" s="1257"/>
      <c r="P12" s="1257"/>
      <c r="Q12" s="1258"/>
      <c r="R12" s="1221"/>
      <c r="S12" s="1257"/>
      <c r="T12" s="1257"/>
      <c r="U12" s="1258"/>
      <c r="V12" s="1148"/>
      <c r="W12" s="1148"/>
      <c r="X12" s="1148"/>
      <c r="Y12" s="1148"/>
      <c r="Z12" s="1148"/>
      <c r="AA12" s="1148"/>
      <c r="AB12" s="1148"/>
      <c r="AC12" s="1148"/>
      <c r="AD12" s="1148"/>
      <c r="AE12" s="1148"/>
      <c r="AF12" s="1148"/>
      <c r="AG12" s="1148"/>
      <c r="AH12" s="1148"/>
      <c r="AI12" s="1148"/>
      <c r="AJ12" s="1148"/>
      <c r="AK12" s="1148"/>
      <c r="AL12" s="1148"/>
      <c r="AM12" s="1148"/>
      <c r="AN12" s="1148"/>
      <c r="AO12" s="1148"/>
      <c r="AP12" s="1148"/>
      <c r="AQ12" s="1148"/>
      <c r="AR12" s="1148"/>
      <c r="AS12" s="1148"/>
      <c r="AT12" s="1148"/>
      <c r="AU12" s="1148"/>
      <c r="AV12" s="1148"/>
      <c r="AW12" s="1148"/>
      <c r="AX12" s="1148"/>
      <c r="AY12" s="1148"/>
      <c r="AZ12" s="1148"/>
      <c r="BA12" s="1148"/>
      <c r="BB12" s="1148"/>
      <c r="BC12" s="1148"/>
      <c r="BD12" s="1148"/>
      <c r="BE12" s="1148"/>
      <c r="BF12" s="1148"/>
      <c r="BG12" s="1148"/>
      <c r="BH12" s="1148"/>
      <c r="BI12" s="1148"/>
      <c r="BJ12" s="1148"/>
      <c r="BK12" s="1148"/>
      <c r="BL12" s="1148"/>
      <c r="BM12" s="1148"/>
      <c r="BN12" s="1148"/>
      <c r="BO12" s="1148"/>
      <c r="BP12" s="1148"/>
      <c r="BQ12" s="1148"/>
      <c r="BR12" s="1148"/>
      <c r="BS12" s="1148"/>
      <c r="BT12" s="1148"/>
      <c r="BU12" s="1148"/>
      <c r="BV12" s="1148"/>
      <c r="BW12" s="1148"/>
      <c r="BX12" s="1148"/>
      <c r="BY12" s="1148"/>
      <c r="BZ12" s="1148"/>
      <c r="CA12" s="1148"/>
      <c r="CB12" s="1148"/>
      <c r="CC12" s="1148"/>
      <c r="CD12" s="1148"/>
      <c r="CE12" s="1148"/>
      <c r="CF12" s="1148"/>
      <c r="CG12" s="1148"/>
      <c r="CH12" s="1148"/>
      <c r="CI12" s="1148"/>
      <c r="CJ12" s="1148"/>
      <c r="CK12" s="1148"/>
      <c r="CL12" s="1148"/>
      <c r="CM12" s="1148"/>
      <c r="CN12" s="1148"/>
      <c r="CO12" s="1148"/>
      <c r="CP12" s="1148"/>
      <c r="CQ12" s="1148"/>
      <c r="CR12" s="1148"/>
      <c r="CS12" s="1148"/>
      <c r="CT12" s="1148"/>
      <c r="CU12" s="1148"/>
      <c r="CV12" s="1148"/>
      <c r="CW12" s="1148"/>
      <c r="CX12" s="1148"/>
      <c r="CY12" s="1148"/>
      <c r="CZ12" s="1148"/>
      <c r="DA12" s="1148"/>
      <c r="DB12" s="1148"/>
      <c r="DC12" s="1148"/>
      <c r="DD12" s="1148"/>
      <c r="DE12" s="1148"/>
      <c r="DF12" s="1148"/>
      <c r="DG12" s="1148"/>
      <c r="DH12" s="1148"/>
      <c r="DI12" s="1148"/>
      <c r="DJ12" s="1148"/>
      <c r="DK12" s="1148"/>
      <c r="DL12" s="1148"/>
      <c r="DM12" s="1148"/>
      <c r="DN12" s="1148"/>
      <c r="DO12" s="1148"/>
      <c r="DP12" s="1148"/>
      <c r="DQ12" s="1148"/>
      <c r="DR12" s="1148"/>
      <c r="DS12" s="1148"/>
      <c r="DT12" s="1148"/>
      <c r="DU12" s="1148"/>
      <c r="DV12" s="1148"/>
      <c r="DW12" s="1148"/>
      <c r="DX12" s="1148"/>
      <c r="DY12" s="1148"/>
      <c r="DZ12" s="1148"/>
      <c r="EA12" s="1148"/>
    </row>
    <row r="13" spans="1:131" s="1149" customFormat="1" ht="35.1" customHeight="1">
      <c r="A13" s="1569"/>
      <c r="B13" s="1228" t="s">
        <v>800</v>
      </c>
      <c r="C13" s="1259"/>
      <c r="D13" s="1229"/>
      <c r="E13" s="1230"/>
      <c r="F13" s="1230"/>
      <c r="G13" s="1231"/>
      <c r="H13" s="1231"/>
      <c r="I13" s="1232"/>
      <c r="J13" s="1229"/>
      <c r="K13" s="1260"/>
      <c r="L13" s="1260"/>
      <c r="M13" s="1261"/>
      <c r="N13" s="1229"/>
      <c r="O13" s="1260"/>
      <c r="P13" s="1260"/>
      <c r="Q13" s="1261"/>
      <c r="R13" s="1229"/>
      <c r="S13" s="1260"/>
      <c r="T13" s="1260"/>
      <c r="U13" s="1261"/>
      <c r="V13" s="1148"/>
      <c r="W13" s="1148"/>
      <c r="X13" s="1148"/>
      <c r="Y13" s="1148"/>
      <c r="Z13" s="1148"/>
      <c r="AA13" s="1148"/>
      <c r="AB13" s="1148"/>
      <c r="AC13" s="1148"/>
      <c r="AD13" s="1148"/>
      <c r="AE13" s="1148"/>
      <c r="AF13" s="1148"/>
      <c r="AG13" s="1148"/>
      <c r="AH13" s="1148"/>
      <c r="AI13" s="1148"/>
      <c r="AJ13" s="1148"/>
      <c r="AK13" s="1148"/>
      <c r="AL13" s="1148"/>
      <c r="AM13" s="1148"/>
      <c r="AN13" s="1148"/>
      <c r="AO13" s="1148"/>
      <c r="AP13" s="1148"/>
      <c r="AQ13" s="1148"/>
      <c r="AR13" s="1148"/>
      <c r="AS13" s="1148"/>
      <c r="AT13" s="1148"/>
      <c r="AU13" s="1148"/>
      <c r="AV13" s="1148"/>
      <c r="AW13" s="1148"/>
      <c r="AX13" s="1148"/>
      <c r="AY13" s="1148"/>
      <c r="AZ13" s="1148"/>
      <c r="BA13" s="1148"/>
      <c r="BB13" s="1148"/>
      <c r="BC13" s="1148"/>
      <c r="BD13" s="1148"/>
      <c r="BE13" s="1148"/>
      <c r="BF13" s="1148"/>
      <c r="BG13" s="1148"/>
      <c r="BH13" s="1148"/>
      <c r="BI13" s="1148"/>
      <c r="BJ13" s="1148"/>
      <c r="BK13" s="1148"/>
      <c r="BL13" s="1148"/>
      <c r="BM13" s="1148"/>
      <c r="BN13" s="1148"/>
      <c r="BO13" s="1148"/>
      <c r="BP13" s="1148"/>
      <c r="BQ13" s="1148"/>
      <c r="BR13" s="1148"/>
      <c r="BS13" s="1148"/>
      <c r="BT13" s="1148"/>
      <c r="BU13" s="1148"/>
      <c r="BV13" s="1148"/>
      <c r="BW13" s="1148"/>
      <c r="BX13" s="1148"/>
      <c r="BY13" s="1148"/>
      <c r="BZ13" s="1148"/>
      <c r="CA13" s="1148"/>
      <c r="CB13" s="1148"/>
      <c r="CC13" s="1148"/>
      <c r="CD13" s="1148"/>
      <c r="CE13" s="1148"/>
      <c r="CF13" s="1148"/>
      <c r="CG13" s="1148"/>
      <c r="CH13" s="1148"/>
      <c r="CI13" s="1148"/>
      <c r="CJ13" s="1148"/>
      <c r="CK13" s="1148"/>
      <c r="CL13" s="1148"/>
      <c r="CM13" s="1148"/>
      <c r="CN13" s="1148"/>
      <c r="CO13" s="1148"/>
      <c r="CP13" s="1148"/>
      <c r="CQ13" s="1148"/>
      <c r="CR13" s="1148"/>
      <c r="CS13" s="1148"/>
      <c r="CT13" s="1148"/>
      <c r="CU13" s="1148"/>
      <c r="CV13" s="1148"/>
      <c r="CW13" s="1148"/>
      <c r="CX13" s="1148"/>
      <c r="CY13" s="1148"/>
      <c r="CZ13" s="1148"/>
      <c r="DA13" s="1148"/>
      <c r="DB13" s="1148"/>
      <c r="DC13" s="1148"/>
      <c r="DD13" s="1148"/>
      <c r="DE13" s="1148"/>
      <c r="DF13" s="1148"/>
      <c r="DG13" s="1148"/>
      <c r="DH13" s="1148"/>
      <c r="DI13" s="1148"/>
      <c r="DJ13" s="1148"/>
      <c r="DK13" s="1148"/>
      <c r="DL13" s="1148"/>
      <c r="DM13" s="1148"/>
      <c r="DN13" s="1148"/>
      <c r="DO13" s="1148"/>
      <c r="DP13" s="1148"/>
      <c r="DQ13" s="1148"/>
      <c r="DR13" s="1148"/>
      <c r="DS13" s="1148"/>
      <c r="DT13" s="1148"/>
      <c r="DU13" s="1148"/>
      <c r="DV13" s="1148"/>
      <c r="DW13" s="1148"/>
      <c r="DX13" s="1148"/>
      <c r="DY13" s="1148"/>
      <c r="DZ13" s="1148"/>
      <c r="EA13" s="1148"/>
    </row>
    <row r="14" spans="1:131" s="1149" customFormat="1" ht="35.1" customHeight="1">
      <c r="A14" s="1569"/>
      <c r="B14" s="1228" t="s">
        <v>801</v>
      </c>
      <c r="C14" s="1259"/>
      <c r="D14" s="1229"/>
      <c r="E14" s="1229"/>
      <c r="F14" s="1229"/>
      <c r="G14" s="1231"/>
      <c r="H14" s="1260"/>
      <c r="I14" s="1261"/>
      <c r="J14" s="1229"/>
      <c r="K14" s="1260"/>
      <c r="L14" s="1260"/>
      <c r="M14" s="1261"/>
      <c r="N14" s="1229"/>
      <c r="O14" s="1260"/>
      <c r="P14" s="1260"/>
      <c r="Q14" s="1261"/>
      <c r="R14" s="1229"/>
      <c r="S14" s="1260"/>
      <c r="T14" s="1260"/>
      <c r="U14" s="1261"/>
      <c r="V14" s="1148"/>
      <c r="W14" s="1148"/>
      <c r="X14" s="1148"/>
      <c r="Y14" s="1148"/>
      <c r="Z14" s="1148"/>
      <c r="AA14" s="1148"/>
      <c r="AB14" s="1148"/>
      <c r="AC14" s="1148"/>
      <c r="AD14" s="1148"/>
      <c r="AE14" s="1148"/>
      <c r="AF14" s="1148"/>
      <c r="AG14" s="1148"/>
      <c r="AH14" s="1148"/>
      <c r="AI14" s="1148"/>
      <c r="AJ14" s="1148"/>
      <c r="AK14" s="1148"/>
      <c r="AL14" s="1148"/>
      <c r="AM14" s="1148"/>
      <c r="AN14" s="1148"/>
      <c r="AO14" s="1148"/>
      <c r="AP14" s="1148"/>
      <c r="AQ14" s="1148"/>
      <c r="AR14" s="1148"/>
      <c r="AS14" s="1148"/>
      <c r="AT14" s="1148"/>
      <c r="AU14" s="1148"/>
      <c r="AV14" s="1148"/>
      <c r="AW14" s="1148"/>
      <c r="AX14" s="1148"/>
      <c r="AY14" s="1148"/>
      <c r="AZ14" s="1148"/>
      <c r="BA14" s="1148"/>
      <c r="BB14" s="1148"/>
      <c r="BC14" s="1148"/>
      <c r="BD14" s="1148"/>
      <c r="BE14" s="1148"/>
      <c r="BF14" s="1148"/>
      <c r="BG14" s="1148"/>
      <c r="BH14" s="1148"/>
      <c r="BI14" s="1148"/>
      <c r="BJ14" s="1148"/>
      <c r="BK14" s="1148"/>
      <c r="BL14" s="1148"/>
      <c r="BM14" s="1148"/>
      <c r="BN14" s="1148"/>
      <c r="BO14" s="1148"/>
      <c r="BP14" s="1148"/>
      <c r="BQ14" s="1148"/>
      <c r="BR14" s="1148"/>
      <c r="BS14" s="1148"/>
      <c r="BT14" s="1148"/>
      <c r="BU14" s="1148"/>
      <c r="BV14" s="1148"/>
      <c r="BW14" s="1148"/>
      <c r="BX14" s="1148"/>
      <c r="BY14" s="1148"/>
      <c r="BZ14" s="1148"/>
      <c r="CA14" s="1148"/>
      <c r="CB14" s="1148"/>
      <c r="CC14" s="1148"/>
      <c r="CD14" s="1148"/>
      <c r="CE14" s="1148"/>
      <c r="CF14" s="1148"/>
      <c r="CG14" s="1148"/>
      <c r="CH14" s="1148"/>
      <c r="CI14" s="1148"/>
      <c r="CJ14" s="1148"/>
      <c r="CK14" s="1148"/>
      <c r="CL14" s="1148"/>
      <c r="CM14" s="1148"/>
      <c r="CN14" s="1148"/>
      <c r="CO14" s="1148"/>
      <c r="CP14" s="1148"/>
      <c r="CQ14" s="1148"/>
      <c r="CR14" s="1148"/>
      <c r="CS14" s="1148"/>
      <c r="CT14" s="1148"/>
      <c r="CU14" s="1148"/>
      <c r="CV14" s="1148"/>
      <c r="CW14" s="1148"/>
      <c r="CX14" s="1148"/>
      <c r="CY14" s="1148"/>
      <c r="CZ14" s="1148"/>
      <c r="DA14" s="1148"/>
      <c r="DB14" s="1148"/>
      <c r="DC14" s="1148"/>
      <c r="DD14" s="1148"/>
      <c r="DE14" s="1148"/>
      <c r="DF14" s="1148"/>
      <c r="DG14" s="1148"/>
      <c r="DH14" s="1148"/>
      <c r="DI14" s="1148"/>
      <c r="DJ14" s="1148"/>
      <c r="DK14" s="1148"/>
      <c r="DL14" s="1148"/>
      <c r="DM14" s="1148"/>
      <c r="DN14" s="1148"/>
      <c r="DO14" s="1148"/>
      <c r="DP14" s="1148"/>
      <c r="DQ14" s="1148"/>
      <c r="DR14" s="1148"/>
      <c r="DS14" s="1148"/>
      <c r="DT14" s="1148"/>
      <c r="DU14" s="1148"/>
      <c r="DV14" s="1148"/>
      <c r="DW14" s="1148"/>
      <c r="DX14" s="1148"/>
      <c r="DY14" s="1148"/>
      <c r="DZ14" s="1148"/>
      <c r="EA14" s="1148"/>
    </row>
    <row r="15" spans="1:131" s="1149" customFormat="1" ht="35.1" customHeight="1" thickBot="1">
      <c r="A15" s="1576"/>
      <c r="B15" s="1262" t="s">
        <v>802</v>
      </c>
      <c r="C15" s="1263"/>
      <c r="D15" s="1229"/>
      <c r="E15" s="1230"/>
      <c r="F15" s="1230"/>
      <c r="G15" s="1231"/>
      <c r="H15" s="1231"/>
      <c r="I15" s="1232"/>
      <c r="J15" s="1229"/>
      <c r="K15" s="1260"/>
      <c r="L15" s="1260"/>
      <c r="M15" s="1261"/>
      <c r="N15" s="1229"/>
      <c r="O15" s="1260"/>
      <c r="P15" s="1260"/>
      <c r="Q15" s="1261"/>
      <c r="R15" s="1229"/>
      <c r="S15" s="1260"/>
      <c r="T15" s="1260"/>
      <c r="U15" s="1261"/>
      <c r="V15" s="1150"/>
      <c r="W15" s="1150"/>
      <c r="X15" s="1148"/>
      <c r="Y15" s="1148"/>
      <c r="Z15" s="1148"/>
      <c r="AA15" s="1148"/>
      <c r="AB15" s="1148"/>
      <c r="AC15" s="1148"/>
      <c r="AD15" s="1148"/>
      <c r="AE15" s="1148"/>
      <c r="AF15" s="1148"/>
      <c r="AG15" s="1148"/>
      <c r="AH15" s="1148"/>
      <c r="AI15" s="1148"/>
      <c r="AJ15" s="1148"/>
      <c r="AK15" s="1148"/>
      <c r="AL15" s="1148"/>
      <c r="AM15" s="1148"/>
      <c r="AN15" s="1148"/>
      <c r="AO15" s="1148"/>
      <c r="AP15" s="1148"/>
      <c r="AQ15" s="1148"/>
      <c r="AR15" s="1148"/>
      <c r="AS15" s="1148"/>
      <c r="AT15" s="1148"/>
      <c r="AU15" s="1148"/>
      <c r="AV15" s="1148"/>
      <c r="AW15" s="1148"/>
      <c r="AX15" s="1148"/>
      <c r="AY15" s="1148"/>
      <c r="AZ15" s="1148"/>
      <c r="BA15" s="1148"/>
      <c r="BB15" s="1148"/>
      <c r="BC15" s="1148"/>
      <c r="BD15" s="1148"/>
      <c r="BE15" s="1148"/>
      <c r="BF15" s="1148"/>
      <c r="BG15" s="1148"/>
      <c r="BH15" s="1148"/>
      <c r="BI15" s="1148"/>
      <c r="BJ15" s="1148"/>
      <c r="BK15" s="1148"/>
      <c r="BL15" s="1148"/>
      <c r="BM15" s="1148"/>
      <c r="BN15" s="1148"/>
      <c r="BO15" s="1148"/>
      <c r="BP15" s="1148"/>
      <c r="BQ15" s="1148"/>
      <c r="BR15" s="1148"/>
      <c r="BS15" s="1148"/>
      <c r="BT15" s="1148"/>
      <c r="BU15" s="1148"/>
      <c r="BV15" s="1148"/>
      <c r="BW15" s="1148"/>
      <c r="BX15" s="1148"/>
      <c r="BY15" s="1148"/>
      <c r="BZ15" s="1148"/>
      <c r="CA15" s="1148"/>
      <c r="CB15" s="1148"/>
      <c r="CC15" s="1148"/>
      <c r="CD15" s="1148"/>
      <c r="CE15" s="1148"/>
      <c r="CF15" s="1148"/>
      <c r="CG15" s="1148"/>
      <c r="CH15" s="1148"/>
      <c r="CI15" s="1148"/>
      <c r="CJ15" s="1148"/>
      <c r="CK15" s="1148"/>
      <c r="CL15" s="1148"/>
      <c r="CM15" s="1148"/>
      <c r="CN15" s="1148"/>
      <c r="CO15" s="1148"/>
      <c r="CP15" s="1148"/>
      <c r="CQ15" s="1148"/>
      <c r="CR15" s="1148"/>
      <c r="CS15" s="1148"/>
      <c r="CT15" s="1148"/>
      <c r="CU15" s="1148"/>
      <c r="CV15" s="1148"/>
      <c r="CW15" s="1148"/>
      <c r="CX15" s="1148"/>
      <c r="CY15" s="1148"/>
      <c r="CZ15" s="1148"/>
      <c r="DA15" s="1148"/>
      <c r="DB15" s="1148"/>
      <c r="DC15" s="1148"/>
      <c r="DD15" s="1148"/>
      <c r="DE15" s="1148"/>
      <c r="DF15" s="1148"/>
      <c r="DG15" s="1148"/>
      <c r="DH15" s="1148"/>
      <c r="DI15" s="1148"/>
      <c r="DJ15" s="1148"/>
      <c r="DK15" s="1148"/>
      <c r="DL15" s="1148"/>
      <c r="DM15" s="1148"/>
      <c r="DN15" s="1148"/>
      <c r="DO15" s="1148"/>
      <c r="DP15" s="1148"/>
      <c r="DQ15" s="1148"/>
      <c r="DR15" s="1148"/>
      <c r="DS15" s="1148"/>
      <c r="DT15" s="1148"/>
      <c r="DU15" s="1148"/>
      <c r="DV15" s="1148"/>
      <c r="DW15" s="1148"/>
      <c r="DX15" s="1148"/>
      <c r="DY15" s="1148"/>
      <c r="DZ15" s="1148"/>
      <c r="EA15" s="1148"/>
    </row>
    <row r="16" spans="1:131" s="1149" customFormat="1" ht="35.1" customHeight="1">
      <c r="A16" s="1569" t="s">
        <v>824</v>
      </c>
      <c r="B16" s="1264" t="s">
        <v>52</v>
      </c>
      <c r="C16" s="1594">
        <v>4101</v>
      </c>
      <c r="D16" s="1221">
        <v>0</v>
      </c>
      <c r="E16" s="1222">
        <v>0</v>
      </c>
      <c r="F16" s="1222">
        <v>0</v>
      </c>
      <c r="G16" s="1223">
        <v>0</v>
      </c>
      <c r="H16" s="1223">
        <v>0</v>
      </c>
      <c r="I16" s="1224">
        <f>F16+G16+H16</f>
        <v>0</v>
      </c>
      <c r="J16" s="1225">
        <v>0</v>
      </c>
      <c r="K16" s="1226">
        <v>0</v>
      </c>
      <c r="L16" s="1226">
        <v>0</v>
      </c>
      <c r="M16" s="1227">
        <f>J16+K16+L16</f>
        <v>0</v>
      </c>
      <c r="N16" s="1225">
        <v>0</v>
      </c>
      <c r="O16" s="1226">
        <v>0</v>
      </c>
      <c r="P16" s="1226">
        <v>0</v>
      </c>
      <c r="Q16" s="1227">
        <f>N16+O16+P16</f>
        <v>0</v>
      </c>
      <c r="R16" s="1225">
        <f>J16+N16</f>
        <v>0</v>
      </c>
      <c r="S16" s="1226">
        <f t="shared" ref="S16:U19" si="0">K16+O16</f>
        <v>0</v>
      </c>
      <c r="T16" s="1226">
        <f t="shared" si="0"/>
        <v>0</v>
      </c>
      <c r="U16" s="1227">
        <f t="shared" si="0"/>
        <v>0</v>
      </c>
      <c r="V16" s="1148"/>
      <c r="W16" s="1150"/>
      <c r="X16" s="1148"/>
      <c r="Y16" s="1148"/>
      <c r="Z16" s="1148"/>
      <c r="AA16" s="1148"/>
      <c r="AB16" s="1148"/>
      <c r="AC16" s="1148"/>
      <c r="AD16" s="1148"/>
      <c r="AE16" s="1148"/>
      <c r="AF16" s="1148"/>
      <c r="AG16" s="1148"/>
      <c r="AH16" s="1148"/>
      <c r="AI16" s="1148"/>
      <c r="AJ16" s="1148"/>
      <c r="AK16" s="1148"/>
      <c r="AL16" s="1148"/>
      <c r="AM16" s="1148"/>
      <c r="AN16" s="1148"/>
      <c r="AO16" s="1148"/>
      <c r="AP16" s="1148"/>
      <c r="AQ16" s="1148"/>
      <c r="AR16" s="1148"/>
      <c r="AS16" s="1148"/>
      <c r="AT16" s="1148"/>
      <c r="AU16" s="1148"/>
      <c r="AV16" s="1148"/>
      <c r="AW16" s="1148"/>
      <c r="AX16" s="1148"/>
      <c r="AY16" s="1148"/>
      <c r="AZ16" s="1148"/>
      <c r="BA16" s="1148"/>
      <c r="BB16" s="1148"/>
      <c r="BC16" s="1148"/>
      <c r="BD16" s="1148"/>
      <c r="BE16" s="1148"/>
      <c r="BF16" s="1148"/>
      <c r="BG16" s="1148"/>
      <c r="BH16" s="1148"/>
      <c r="BI16" s="1148"/>
      <c r="BJ16" s="1148"/>
      <c r="BK16" s="1148"/>
      <c r="BL16" s="1148"/>
      <c r="BM16" s="1148"/>
      <c r="BN16" s="1148"/>
      <c r="BO16" s="1148"/>
      <c r="BP16" s="1148"/>
      <c r="BQ16" s="1148"/>
      <c r="BR16" s="1148"/>
      <c r="BS16" s="1148"/>
      <c r="BT16" s="1148"/>
      <c r="BU16" s="1148"/>
      <c r="BV16" s="1148"/>
      <c r="BW16" s="1148"/>
      <c r="BX16" s="1148"/>
      <c r="BY16" s="1148"/>
      <c r="BZ16" s="1148"/>
      <c r="CA16" s="1148"/>
      <c r="CB16" s="1148"/>
      <c r="CC16" s="1148"/>
      <c r="CD16" s="1148"/>
      <c r="CE16" s="1148"/>
      <c r="CF16" s="1148"/>
      <c r="CG16" s="1148"/>
      <c r="CH16" s="1148"/>
      <c r="CI16" s="1148"/>
      <c r="CJ16" s="1148"/>
      <c r="CK16" s="1148"/>
      <c r="CL16" s="1148"/>
      <c r="CM16" s="1148"/>
      <c r="CN16" s="1148"/>
      <c r="CO16" s="1148"/>
      <c r="CP16" s="1148"/>
      <c r="CQ16" s="1148"/>
      <c r="CR16" s="1148"/>
      <c r="CS16" s="1148"/>
      <c r="CT16" s="1148"/>
      <c r="CU16" s="1148"/>
      <c r="CV16" s="1148"/>
      <c r="CW16" s="1148"/>
      <c r="CX16" s="1148"/>
      <c r="CY16" s="1148"/>
      <c r="CZ16" s="1148"/>
      <c r="DA16" s="1148"/>
      <c r="DB16" s="1148"/>
      <c r="DC16" s="1148"/>
      <c r="DD16" s="1148"/>
      <c r="DE16" s="1148"/>
      <c r="DF16" s="1148"/>
      <c r="DG16" s="1148"/>
      <c r="DH16" s="1148"/>
      <c r="DI16" s="1148"/>
      <c r="DJ16" s="1148"/>
      <c r="DK16" s="1148"/>
      <c r="DL16" s="1148"/>
      <c r="DM16" s="1148"/>
      <c r="DN16" s="1148"/>
      <c r="DO16" s="1148"/>
      <c r="DP16" s="1148"/>
      <c r="DQ16" s="1148"/>
      <c r="DR16" s="1148"/>
      <c r="DS16" s="1148"/>
      <c r="DT16" s="1148"/>
      <c r="DU16" s="1148"/>
      <c r="DV16" s="1148"/>
      <c r="DW16" s="1148"/>
      <c r="DX16" s="1148"/>
      <c r="DY16" s="1148"/>
      <c r="DZ16" s="1148"/>
      <c r="EA16" s="1148"/>
    </row>
    <row r="17" spans="1:131" s="1149" customFormat="1" ht="35.1" customHeight="1">
      <c r="A17" s="1569"/>
      <c r="B17" s="1228" t="s">
        <v>800</v>
      </c>
      <c r="C17" s="1572"/>
      <c r="D17" s="1229">
        <f>R17/I17/12</f>
        <v>36663.538333333338</v>
      </c>
      <c r="E17" s="1230">
        <v>0</v>
      </c>
      <c r="F17" s="1230">
        <v>0</v>
      </c>
      <c r="G17" s="1231">
        <v>0</v>
      </c>
      <c r="H17" s="1231">
        <v>1</v>
      </c>
      <c r="I17" s="1232">
        <f t="shared" ref="I17:I19" si="1">F17+G17+H17</f>
        <v>1</v>
      </c>
      <c r="J17" s="1233">
        <v>65994.39</v>
      </c>
      <c r="K17" s="1234">
        <v>0</v>
      </c>
      <c r="L17" s="1234">
        <v>0</v>
      </c>
      <c r="M17" s="1235">
        <f t="shared" ref="M17:M19" si="2">J17+K17+L17</f>
        <v>65994.39</v>
      </c>
      <c r="N17" s="1233">
        <v>373968.07</v>
      </c>
      <c r="O17" s="1234">
        <v>0</v>
      </c>
      <c r="P17" s="1234">
        <v>0</v>
      </c>
      <c r="Q17" s="1235">
        <f t="shared" ref="Q17:Q19" si="3">N17+O17+P17</f>
        <v>373968.07</v>
      </c>
      <c r="R17" s="1233">
        <f t="shared" ref="R17:R19" si="4">J17+N17</f>
        <v>439962.46</v>
      </c>
      <c r="S17" s="1234">
        <f t="shared" si="0"/>
        <v>0</v>
      </c>
      <c r="T17" s="1234">
        <f t="shared" si="0"/>
        <v>0</v>
      </c>
      <c r="U17" s="1235">
        <f t="shared" si="0"/>
        <v>439962.46</v>
      </c>
      <c r="V17" s="1148"/>
      <c r="W17" s="1150"/>
      <c r="X17" s="1148"/>
      <c r="Y17" s="1148"/>
      <c r="Z17" s="1148"/>
      <c r="AA17" s="1148"/>
      <c r="AB17" s="1148"/>
      <c r="AC17" s="1148"/>
      <c r="AD17" s="1148"/>
      <c r="AE17" s="1148"/>
      <c r="AF17" s="1148"/>
      <c r="AG17" s="1148"/>
      <c r="AH17" s="1148"/>
      <c r="AI17" s="1148"/>
      <c r="AJ17" s="1148"/>
      <c r="AK17" s="1148"/>
      <c r="AL17" s="1148"/>
      <c r="AM17" s="1148"/>
      <c r="AN17" s="1148"/>
      <c r="AO17" s="1148"/>
      <c r="AP17" s="1148"/>
      <c r="AQ17" s="1148"/>
      <c r="AR17" s="1148"/>
      <c r="AS17" s="1148"/>
      <c r="AT17" s="1148"/>
      <c r="AU17" s="1148"/>
      <c r="AV17" s="1148"/>
      <c r="AW17" s="1148"/>
      <c r="AX17" s="1148"/>
      <c r="AY17" s="1148"/>
      <c r="AZ17" s="1148"/>
      <c r="BA17" s="1148"/>
      <c r="BB17" s="1148"/>
      <c r="BC17" s="1148"/>
      <c r="BD17" s="1148"/>
      <c r="BE17" s="1148"/>
      <c r="BF17" s="1148"/>
      <c r="BG17" s="1148"/>
      <c r="BH17" s="1148"/>
      <c r="BI17" s="1148"/>
      <c r="BJ17" s="1148"/>
      <c r="BK17" s="1148"/>
      <c r="BL17" s="1148"/>
      <c r="BM17" s="1148"/>
      <c r="BN17" s="1148"/>
      <c r="BO17" s="1148"/>
      <c r="BP17" s="1148"/>
      <c r="BQ17" s="1148"/>
      <c r="BR17" s="1148"/>
      <c r="BS17" s="1148"/>
      <c r="BT17" s="1148"/>
      <c r="BU17" s="1148"/>
      <c r="BV17" s="1148"/>
      <c r="BW17" s="1148"/>
      <c r="BX17" s="1148"/>
      <c r="BY17" s="1148"/>
      <c r="BZ17" s="1148"/>
      <c r="CA17" s="1148"/>
      <c r="CB17" s="1148"/>
      <c r="CC17" s="1148"/>
      <c r="CD17" s="1148"/>
      <c r="CE17" s="1148"/>
      <c r="CF17" s="1148"/>
      <c r="CG17" s="1148"/>
      <c r="CH17" s="1148"/>
      <c r="CI17" s="1148"/>
      <c r="CJ17" s="1148"/>
      <c r="CK17" s="1148"/>
      <c r="CL17" s="1148"/>
      <c r="CM17" s="1148"/>
      <c r="CN17" s="1148"/>
      <c r="CO17" s="1148"/>
      <c r="CP17" s="1148"/>
      <c r="CQ17" s="1148"/>
      <c r="CR17" s="1148"/>
      <c r="CS17" s="1148"/>
      <c r="CT17" s="1148"/>
      <c r="CU17" s="1148"/>
      <c r="CV17" s="1148"/>
      <c r="CW17" s="1148"/>
      <c r="CX17" s="1148"/>
      <c r="CY17" s="1148"/>
      <c r="CZ17" s="1148"/>
      <c r="DA17" s="1148"/>
      <c r="DB17" s="1148"/>
      <c r="DC17" s="1148"/>
      <c r="DD17" s="1148"/>
      <c r="DE17" s="1148"/>
      <c r="DF17" s="1148"/>
      <c r="DG17" s="1148"/>
      <c r="DH17" s="1148"/>
      <c r="DI17" s="1148"/>
      <c r="DJ17" s="1148"/>
      <c r="DK17" s="1148"/>
      <c r="DL17" s="1148"/>
      <c r="DM17" s="1148"/>
      <c r="DN17" s="1148"/>
      <c r="DO17" s="1148"/>
      <c r="DP17" s="1148"/>
      <c r="DQ17" s="1148"/>
      <c r="DR17" s="1148"/>
      <c r="DS17" s="1148"/>
      <c r="DT17" s="1148"/>
      <c r="DU17" s="1148"/>
      <c r="DV17" s="1148"/>
      <c r="DW17" s="1148"/>
      <c r="DX17" s="1148"/>
      <c r="DY17" s="1148"/>
      <c r="DZ17" s="1148"/>
      <c r="EA17" s="1148"/>
    </row>
    <row r="18" spans="1:131" s="1149" customFormat="1" ht="35.1" customHeight="1">
      <c r="A18" s="1569"/>
      <c r="B18" s="1228" t="s">
        <v>801</v>
      </c>
      <c r="C18" s="1572"/>
      <c r="D18" s="1229"/>
      <c r="E18" s="1230">
        <v>0</v>
      </c>
      <c r="F18" s="1230">
        <v>0</v>
      </c>
      <c r="G18" s="1231">
        <v>0</v>
      </c>
      <c r="H18" s="1231">
        <v>0</v>
      </c>
      <c r="I18" s="1232">
        <f t="shared" si="1"/>
        <v>0</v>
      </c>
      <c r="J18" s="1233">
        <v>0</v>
      </c>
      <c r="K18" s="1234">
        <v>0</v>
      </c>
      <c r="L18" s="1234">
        <v>5950.5</v>
      </c>
      <c r="M18" s="1235">
        <f t="shared" si="2"/>
        <v>5950.5</v>
      </c>
      <c r="N18" s="1233">
        <v>0</v>
      </c>
      <c r="O18" s="1234">
        <v>0</v>
      </c>
      <c r="P18" s="1234">
        <v>33719.5</v>
      </c>
      <c r="Q18" s="1235">
        <f t="shared" si="3"/>
        <v>33719.5</v>
      </c>
      <c r="R18" s="1233">
        <f t="shared" si="4"/>
        <v>0</v>
      </c>
      <c r="S18" s="1234">
        <f t="shared" si="0"/>
        <v>0</v>
      </c>
      <c r="T18" s="1234">
        <f t="shared" si="0"/>
        <v>39670</v>
      </c>
      <c r="U18" s="1235">
        <f t="shared" si="0"/>
        <v>39670</v>
      </c>
      <c r="V18" s="1148"/>
      <c r="W18" s="1150"/>
      <c r="X18" s="1148"/>
      <c r="Y18" s="1148"/>
      <c r="Z18" s="1148"/>
      <c r="AA18" s="1148"/>
      <c r="AB18" s="1148"/>
      <c r="AC18" s="1148"/>
      <c r="AD18" s="1148"/>
      <c r="AE18" s="1148"/>
      <c r="AF18" s="1148"/>
      <c r="AG18" s="1148"/>
      <c r="AH18" s="1148"/>
      <c r="AI18" s="1148"/>
      <c r="AJ18" s="1148"/>
      <c r="AK18" s="1148"/>
      <c r="AL18" s="1148"/>
      <c r="AM18" s="1148"/>
      <c r="AN18" s="1148"/>
      <c r="AO18" s="1148"/>
      <c r="AP18" s="1148"/>
      <c r="AQ18" s="1148"/>
      <c r="AR18" s="1148"/>
      <c r="AS18" s="1148"/>
      <c r="AT18" s="1148"/>
      <c r="AU18" s="1148"/>
      <c r="AV18" s="1148"/>
      <c r="AW18" s="1148"/>
      <c r="AX18" s="1148"/>
      <c r="AY18" s="1148"/>
      <c r="AZ18" s="1148"/>
      <c r="BA18" s="1148"/>
      <c r="BB18" s="1148"/>
      <c r="BC18" s="1148"/>
      <c r="BD18" s="1148"/>
      <c r="BE18" s="1148"/>
      <c r="BF18" s="1148"/>
      <c r="BG18" s="1148"/>
      <c r="BH18" s="1148"/>
      <c r="BI18" s="1148"/>
      <c r="BJ18" s="1148"/>
      <c r="BK18" s="1148"/>
      <c r="BL18" s="1148"/>
      <c r="BM18" s="1148"/>
      <c r="BN18" s="1148"/>
      <c r="BO18" s="1148"/>
      <c r="BP18" s="1148"/>
      <c r="BQ18" s="1148"/>
      <c r="BR18" s="1148"/>
      <c r="BS18" s="1148"/>
      <c r="BT18" s="1148"/>
      <c r="BU18" s="1148"/>
      <c r="BV18" s="1148"/>
      <c r="BW18" s="1148"/>
      <c r="BX18" s="1148"/>
      <c r="BY18" s="1148"/>
      <c r="BZ18" s="1148"/>
      <c r="CA18" s="1148"/>
      <c r="CB18" s="1148"/>
      <c r="CC18" s="1148"/>
      <c r="CD18" s="1148"/>
      <c r="CE18" s="1148"/>
      <c r="CF18" s="1148"/>
      <c r="CG18" s="1148"/>
      <c r="CH18" s="1148"/>
      <c r="CI18" s="1148"/>
      <c r="CJ18" s="1148"/>
      <c r="CK18" s="1148"/>
      <c r="CL18" s="1148"/>
      <c r="CM18" s="1148"/>
      <c r="CN18" s="1148"/>
      <c r="CO18" s="1148"/>
      <c r="CP18" s="1148"/>
      <c r="CQ18" s="1148"/>
      <c r="CR18" s="1148"/>
      <c r="CS18" s="1148"/>
      <c r="CT18" s="1148"/>
      <c r="CU18" s="1148"/>
      <c r="CV18" s="1148"/>
      <c r="CW18" s="1148"/>
      <c r="CX18" s="1148"/>
      <c r="CY18" s="1148"/>
      <c r="CZ18" s="1148"/>
      <c r="DA18" s="1148"/>
      <c r="DB18" s="1148"/>
      <c r="DC18" s="1148"/>
      <c r="DD18" s="1148"/>
      <c r="DE18" s="1148"/>
      <c r="DF18" s="1148"/>
      <c r="DG18" s="1148"/>
      <c r="DH18" s="1148"/>
      <c r="DI18" s="1148"/>
      <c r="DJ18" s="1148"/>
      <c r="DK18" s="1148"/>
      <c r="DL18" s="1148"/>
      <c r="DM18" s="1148"/>
      <c r="DN18" s="1148"/>
      <c r="DO18" s="1148"/>
      <c r="DP18" s="1148"/>
      <c r="DQ18" s="1148"/>
      <c r="DR18" s="1148"/>
      <c r="DS18" s="1148"/>
      <c r="DT18" s="1148"/>
      <c r="DU18" s="1148"/>
      <c r="DV18" s="1148"/>
      <c r="DW18" s="1148"/>
      <c r="DX18" s="1148"/>
      <c r="DY18" s="1148"/>
      <c r="DZ18" s="1148"/>
      <c r="EA18" s="1148"/>
    </row>
    <row r="19" spans="1:131" s="1149" customFormat="1" ht="35.1" customHeight="1">
      <c r="A19" s="1593"/>
      <c r="B19" s="1228" t="s">
        <v>802</v>
      </c>
      <c r="C19" s="1595"/>
      <c r="D19" s="1229">
        <f t="shared" ref="D19:D23" si="5">R19/I19/12</f>
        <v>36663.538333333338</v>
      </c>
      <c r="E19" s="1230">
        <v>0</v>
      </c>
      <c r="F19" s="1230">
        <f>F16+F17+F18</f>
        <v>0</v>
      </c>
      <c r="G19" s="1231">
        <f t="shared" ref="G19:H19" si="6">G16+G17+G18</f>
        <v>0</v>
      </c>
      <c r="H19" s="1231">
        <f t="shared" si="6"/>
        <v>1</v>
      </c>
      <c r="I19" s="1232">
        <f t="shared" si="1"/>
        <v>1</v>
      </c>
      <c r="J19" s="1233">
        <f>J16+J17+J18</f>
        <v>65994.39</v>
      </c>
      <c r="K19" s="1234">
        <f t="shared" ref="K19:L19" si="7">K16+K17+K18</f>
        <v>0</v>
      </c>
      <c r="L19" s="1234">
        <f t="shared" si="7"/>
        <v>5950.5</v>
      </c>
      <c r="M19" s="1235">
        <f t="shared" si="2"/>
        <v>71944.89</v>
      </c>
      <c r="N19" s="1233">
        <f>N16+N17+N18</f>
        <v>373968.07</v>
      </c>
      <c r="O19" s="1234">
        <f t="shared" ref="O19:P19" si="8">O16+O17+O18</f>
        <v>0</v>
      </c>
      <c r="P19" s="1234">
        <f t="shared" si="8"/>
        <v>33719.5</v>
      </c>
      <c r="Q19" s="1235">
        <f t="shared" si="3"/>
        <v>407687.57</v>
      </c>
      <c r="R19" s="1233">
        <f t="shared" si="4"/>
        <v>439962.46</v>
      </c>
      <c r="S19" s="1234">
        <f t="shared" si="0"/>
        <v>0</v>
      </c>
      <c r="T19" s="1234">
        <f t="shared" si="0"/>
        <v>39670</v>
      </c>
      <c r="U19" s="1235">
        <f t="shared" si="0"/>
        <v>479632.46</v>
      </c>
      <c r="V19" s="1150"/>
      <c r="W19" s="1150"/>
      <c r="X19" s="1148"/>
      <c r="Y19" s="1148"/>
      <c r="Z19" s="1148"/>
      <c r="AA19" s="1148"/>
      <c r="AB19" s="1148"/>
      <c r="AC19" s="1148"/>
      <c r="AD19" s="1148"/>
      <c r="AE19" s="1148"/>
      <c r="AF19" s="1148"/>
      <c r="AG19" s="1148"/>
      <c r="AH19" s="1148"/>
      <c r="AI19" s="1148"/>
      <c r="AJ19" s="1148"/>
      <c r="AK19" s="1148"/>
      <c r="AL19" s="1148"/>
      <c r="AM19" s="1148"/>
      <c r="AN19" s="1148"/>
      <c r="AO19" s="1148"/>
      <c r="AP19" s="1148"/>
      <c r="AQ19" s="1148"/>
      <c r="AR19" s="1148"/>
      <c r="AS19" s="1148"/>
      <c r="AT19" s="1148"/>
      <c r="AU19" s="1148"/>
      <c r="AV19" s="1148"/>
      <c r="AW19" s="1148"/>
      <c r="AX19" s="1148"/>
      <c r="AY19" s="1148"/>
      <c r="AZ19" s="1148"/>
      <c r="BA19" s="1148"/>
      <c r="BB19" s="1148"/>
      <c r="BC19" s="1148"/>
      <c r="BD19" s="1148"/>
      <c r="BE19" s="1148"/>
      <c r="BF19" s="1148"/>
      <c r="BG19" s="1148"/>
      <c r="BH19" s="1148"/>
      <c r="BI19" s="1148"/>
      <c r="BJ19" s="1148"/>
      <c r="BK19" s="1148"/>
      <c r="BL19" s="1148"/>
      <c r="BM19" s="1148"/>
      <c r="BN19" s="1148"/>
      <c r="BO19" s="1148"/>
      <c r="BP19" s="1148"/>
      <c r="BQ19" s="1148"/>
      <c r="BR19" s="1148"/>
      <c r="BS19" s="1148"/>
      <c r="BT19" s="1148"/>
      <c r="BU19" s="1148"/>
      <c r="BV19" s="1148"/>
      <c r="BW19" s="1148"/>
      <c r="BX19" s="1148"/>
      <c r="BY19" s="1148"/>
      <c r="BZ19" s="1148"/>
      <c r="CA19" s="1148"/>
      <c r="CB19" s="1148"/>
      <c r="CC19" s="1148"/>
      <c r="CD19" s="1148"/>
      <c r="CE19" s="1148"/>
      <c r="CF19" s="1148"/>
      <c r="CG19" s="1148"/>
      <c r="CH19" s="1148"/>
      <c r="CI19" s="1148"/>
      <c r="CJ19" s="1148"/>
      <c r="CK19" s="1148"/>
      <c r="CL19" s="1148"/>
      <c r="CM19" s="1148"/>
      <c r="CN19" s="1148"/>
      <c r="CO19" s="1148"/>
      <c r="CP19" s="1148"/>
      <c r="CQ19" s="1148"/>
      <c r="CR19" s="1148"/>
      <c r="CS19" s="1148"/>
      <c r="CT19" s="1148"/>
      <c r="CU19" s="1148"/>
      <c r="CV19" s="1148"/>
      <c r="CW19" s="1148"/>
      <c r="CX19" s="1148"/>
      <c r="CY19" s="1148"/>
      <c r="CZ19" s="1148"/>
      <c r="DA19" s="1148"/>
      <c r="DB19" s="1148"/>
      <c r="DC19" s="1148"/>
      <c r="DD19" s="1148"/>
      <c r="DE19" s="1148"/>
      <c r="DF19" s="1148"/>
      <c r="DG19" s="1148"/>
      <c r="DH19" s="1148"/>
      <c r="DI19" s="1148"/>
      <c r="DJ19" s="1148"/>
      <c r="DK19" s="1148"/>
      <c r="DL19" s="1148"/>
      <c r="DM19" s="1148"/>
      <c r="DN19" s="1148"/>
      <c r="DO19" s="1148"/>
      <c r="DP19" s="1148"/>
      <c r="DQ19" s="1148"/>
      <c r="DR19" s="1148"/>
      <c r="DS19" s="1148"/>
      <c r="DT19" s="1148"/>
      <c r="DU19" s="1148"/>
      <c r="DV19" s="1148"/>
      <c r="DW19" s="1148"/>
      <c r="DX19" s="1148"/>
      <c r="DY19" s="1148"/>
      <c r="DZ19" s="1148"/>
      <c r="EA19" s="1148"/>
    </row>
    <row r="20" spans="1:131" s="1149" customFormat="1" ht="35.1" customHeight="1">
      <c r="A20" s="1592" t="s">
        <v>803</v>
      </c>
      <c r="B20" s="1265" t="s">
        <v>52</v>
      </c>
      <c r="C20" s="1266"/>
      <c r="D20" s="1267"/>
      <c r="E20" s="1268">
        <v>0</v>
      </c>
      <c r="F20" s="1268">
        <f>F16</f>
        <v>0</v>
      </c>
      <c r="G20" s="1269">
        <f t="shared" ref="G20:I20" si="9">G16</f>
        <v>0</v>
      </c>
      <c r="H20" s="1269">
        <f t="shared" si="9"/>
        <v>0</v>
      </c>
      <c r="I20" s="1270">
        <f t="shared" si="9"/>
        <v>0</v>
      </c>
      <c r="J20" s="1271">
        <f>J16</f>
        <v>0</v>
      </c>
      <c r="K20" s="1272">
        <f t="shared" ref="K20:U23" si="10">K16</f>
        <v>0</v>
      </c>
      <c r="L20" s="1272">
        <f t="shared" si="10"/>
        <v>0</v>
      </c>
      <c r="M20" s="1273">
        <f t="shared" si="10"/>
        <v>0</v>
      </c>
      <c r="N20" s="1271">
        <f t="shared" si="10"/>
        <v>0</v>
      </c>
      <c r="O20" s="1272">
        <f t="shared" si="10"/>
        <v>0</v>
      </c>
      <c r="P20" s="1272">
        <f t="shared" si="10"/>
        <v>0</v>
      </c>
      <c r="Q20" s="1273">
        <f t="shared" si="10"/>
        <v>0</v>
      </c>
      <c r="R20" s="1271">
        <f t="shared" si="10"/>
        <v>0</v>
      </c>
      <c r="S20" s="1272">
        <f t="shared" si="10"/>
        <v>0</v>
      </c>
      <c r="T20" s="1272">
        <f t="shared" si="10"/>
        <v>0</v>
      </c>
      <c r="U20" s="1273">
        <f t="shared" si="10"/>
        <v>0</v>
      </c>
      <c r="V20" s="1148"/>
      <c r="W20" s="1148"/>
      <c r="X20" s="1148"/>
      <c r="Y20" s="1148"/>
      <c r="Z20" s="1148"/>
      <c r="AA20" s="1148"/>
      <c r="AB20" s="1148"/>
      <c r="AC20" s="1148"/>
      <c r="AD20" s="1148"/>
      <c r="AE20" s="1148"/>
      <c r="AF20" s="1148"/>
      <c r="AG20" s="1148"/>
      <c r="AH20" s="1148"/>
      <c r="AI20" s="1148"/>
      <c r="AJ20" s="1148"/>
      <c r="AK20" s="1148"/>
      <c r="AL20" s="1148"/>
      <c r="AM20" s="1148"/>
      <c r="AN20" s="1148"/>
      <c r="AO20" s="1148"/>
      <c r="AP20" s="1148"/>
      <c r="AQ20" s="1148"/>
      <c r="AR20" s="1148"/>
      <c r="AS20" s="1148"/>
      <c r="AT20" s="1148"/>
      <c r="AU20" s="1148"/>
      <c r="AV20" s="1148"/>
      <c r="AW20" s="1148"/>
      <c r="AX20" s="1148"/>
      <c r="AY20" s="1148"/>
      <c r="AZ20" s="1148"/>
      <c r="BA20" s="1148"/>
      <c r="BB20" s="1148"/>
      <c r="BC20" s="1148"/>
      <c r="BD20" s="1148"/>
      <c r="BE20" s="1148"/>
      <c r="BF20" s="1148"/>
      <c r="BG20" s="1148"/>
      <c r="BH20" s="1148"/>
      <c r="BI20" s="1148"/>
      <c r="BJ20" s="1148"/>
      <c r="BK20" s="1148"/>
      <c r="BL20" s="1148"/>
      <c r="BM20" s="1148"/>
      <c r="BN20" s="1148"/>
      <c r="BO20" s="1148"/>
      <c r="BP20" s="1148"/>
      <c r="BQ20" s="1148"/>
      <c r="BR20" s="1148"/>
      <c r="BS20" s="1148"/>
      <c r="BT20" s="1148"/>
      <c r="BU20" s="1148"/>
      <c r="BV20" s="1148"/>
      <c r="BW20" s="1148"/>
      <c r="BX20" s="1148"/>
      <c r="BY20" s="1148"/>
      <c r="BZ20" s="1148"/>
      <c r="CA20" s="1148"/>
      <c r="CB20" s="1148"/>
      <c r="CC20" s="1148"/>
      <c r="CD20" s="1148"/>
      <c r="CE20" s="1148"/>
      <c r="CF20" s="1148"/>
      <c r="CG20" s="1148"/>
      <c r="CH20" s="1148"/>
      <c r="CI20" s="1148"/>
      <c r="CJ20" s="1148"/>
      <c r="CK20" s="1148"/>
      <c r="CL20" s="1148"/>
      <c r="CM20" s="1148"/>
      <c r="CN20" s="1148"/>
      <c r="CO20" s="1148"/>
      <c r="CP20" s="1148"/>
      <c r="CQ20" s="1148"/>
      <c r="CR20" s="1148"/>
      <c r="CS20" s="1148"/>
      <c r="CT20" s="1148"/>
      <c r="CU20" s="1148"/>
      <c r="CV20" s="1148"/>
      <c r="CW20" s="1148"/>
      <c r="CX20" s="1148"/>
      <c r="CY20" s="1148"/>
      <c r="CZ20" s="1148"/>
      <c r="DA20" s="1148"/>
      <c r="DB20" s="1148"/>
      <c r="DC20" s="1148"/>
      <c r="DD20" s="1148"/>
      <c r="DE20" s="1148"/>
      <c r="DF20" s="1148"/>
      <c r="DG20" s="1148"/>
      <c r="DH20" s="1148"/>
      <c r="DI20" s="1148"/>
      <c r="DJ20" s="1148"/>
      <c r="DK20" s="1148"/>
      <c r="DL20" s="1148"/>
      <c r="DM20" s="1148"/>
      <c r="DN20" s="1148"/>
      <c r="DO20" s="1148"/>
      <c r="DP20" s="1148"/>
      <c r="DQ20" s="1148"/>
      <c r="DR20" s="1148"/>
      <c r="DS20" s="1148"/>
      <c r="DT20" s="1148"/>
      <c r="DU20" s="1148"/>
      <c r="DV20" s="1148"/>
      <c r="DW20" s="1148"/>
      <c r="DX20" s="1148"/>
      <c r="DY20" s="1148"/>
      <c r="DZ20" s="1148"/>
      <c r="EA20" s="1148"/>
    </row>
    <row r="21" spans="1:131" s="1149" customFormat="1" ht="35.1" customHeight="1">
      <c r="A21" s="1574"/>
      <c r="B21" s="1244" t="s">
        <v>800</v>
      </c>
      <c r="C21" s="1245"/>
      <c r="D21" s="1229">
        <f t="shared" si="5"/>
        <v>36663.538333333338</v>
      </c>
      <c r="E21" s="1230">
        <v>0</v>
      </c>
      <c r="F21" s="1230">
        <f t="shared" ref="F21:Q23" si="11">F17</f>
        <v>0</v>
      </c>
      <c r="G21" s="1231">
        <f t="shared" si="11"/>
        <v>0</v>
      </c>
      <c r="H21" s="1231">
        <f t="shared" si="11"/>
        <v>1</v>
      </c>
      <c r="I21" s="1232">
        <f t="shared" si="11"/>
        <v>1</v>
      </c>
      <c r="J21" s="1233">
        <f t="shared" si="11"/>
        <v>65994.39</v>
      </c>
      <c r="K21" s="1234">
        <f t="shared" si="11"/>
        <v>0</v>
      </c>
      <c r="L21" s="1234">
        <f t="shared" si="11"/>
        <v>0</v>
      </c>
      <c r="M21" s="1235">
        <f t="shared" si="11"/>
        <v>65994.39</v>
      </c>
      <c r="N21" s="1233">
        <f t="shared" si="11"/>
        <v>373968.07</v>
      </c>
      <c r="O21" s="1234">
        <f t="shared" si="11"/>
        <v>0</v>
      </c>
      <c r="P21" s="1234">
        <f t="shared" si="11"/>
        <v>0</v>
      </c>
      <c r="Q21" s="1235">
        <f t="shared" si="11"/>
        <v>373968.07</v>
      </c>
      <c r="R21" s="1233">
        <f t="shared" si="10"/>
        <v>439962.46</v>
      </c>
      <c r="S21" s="1234">
        <f t="shared" si="10"/>
        <v>0</v>
      </c>
      <c r="T21" s="1234">
        <f t="shared" si="10"/>
        <v>0</v>
      </c>
      <c r="U21" s="1235">
        <f t="shared" si="10"/>
        <v>439962.46</v>
      </c>
      <c r="V21" s="1148"/>
      <c r="W21" s="1148"/>
      <c r="X21" s="1148"/>
      <c r="Y21" s="1148"/>
      <c r="Z21" s="1148"/>
      <c r="AA21" s="1148"/>
      <c r="AB21" s="1148"/>
      <c r="AC21" s="1148"/>
      <c r="AD21" s="1148"/>
      <c r="AE21" s="1148"/>
      <c r="AF21" s="1148"/>
      <c r="AG21" s="1148"/>
      <c r="AH21" s="1148"/>
      <c r="AI21" s="1148"/>
      <c r="AJ21" s="1148"/>
      <c r="AK21" s="1148"/>
      <c r="AL21" s="1148"/>
      <c r="AM21" s="1148"/>
      <c r="AN21" s="1148"/>
      <c r="AO21" s="1148"/>
      <c r="AP21" s="1148"/>
      <c r="AQ21" s="1148"/>
      <c r="AR21" s="1148"/>
      <c r="AS21" s="1148"/>
      <c r="AT21" s="1148"/>
      <c r="AU21" s="1148"/>
      <c r="AV21" s="1148"/>
      <c r="AW21" s="1148"/>
      <c r="AX21" s="1148"/>
      <c r="AY21" s="1148"/>
      <c r="AZ21" s="1148"/>
      <c r="BA21" s="1148"/>
      <c r="BB21" s="1148"/>
      <c r="BC21" s="1148"/>
      <c r="BD21" s="1148"/>
      <c r="BE21" s="1148"/>
      <c r="BF21" s="1148"/>
      <c r="BG21" s="1148"/>
      <c r="BH21" s="1148"/>
      <c r="BI21" s="1148"/>
      <c r="BJ21" s="1148"/>
      <c r="BK21" s="1148"/>
      <c r="BL21" s="1148"/>
      <c r="BM21" s="1148"/>
      <c r="BN21" s="1148"/>
      <c r="BO21" s="1148"/>
      <c r="BP21" s="1148"/>
      <c r="BQ21" s="1148"/>
      <c r="BR21" s="1148"/>
      <c r="BS21" s="1148"/>
      <c r="BT21" s="1148"/>
      <c r="BU21" s="1148"/>
      <c r="BV21" s="1148"/>
      <c r="BW21" s="1148"/>
      <c r="BX21" s="1148"/>
      <c r="BY21" s="1148"/>
      <c r="BZ21" s="1148"/>
      <c r="CA21" s="1148"/>
      <c r="CB21" s="1148"/>
      <c r="CC21" s="1148"/>
      <c r="CD21" s="1148"/>
      <c r="CE21" s="1148"/>
      <c r="CF21" s="1148"/>
      <c r="CG21" s="1148"/>
      <c r="CH21" s="1148"/>
      <c r="CI21" s="1148"/>
      <c r="CJ21" s="1148"/>
      <c r="CK21" s="1148"/>
      <c r="CL21" s="1148"/>
      <c r="CM21" s="1148"/>
      <c r="CN21" s="1148"/>
      <c r="CO21" s="1148"/>
      <c r="CP21" s="1148"/>
      <c r="CQ21" s="1148"/>
      <c r="CR21" s="1148"/>
      <c r="CS21" s="1148"/>
      <c r="CT21" s="1148"/>
      <c r="CU21" s="1148"/>
      <c r="CV21" s="1148"/>
      <c r="CW21" s="1148"/>
      <c r="CX21" s="1148"/>
      <c r="CY21" s="1148"/>
      <c r="CZ21" s="1148"/>
      <c r="DA21" s="1148"/>
      <c r="DB21" s="1148"/>
      <c r="DC21" s="1148"/>
      <c r="DD21" s="1148"/>
      <c r="DE21" s="1148"/>
      <c r="DF21" s="1148"/>
      <c r="DG21" s="1148"/>
      <c r="DH21" s="1148"/>
      <c r="DI21" s="1148"/>
      <c r="DJ21" s="1148"/>
      <c r="DK21" s="1148"/>
      <c r="DL21" s="1148"/>
      <c r="DM21" s="1148"/>
      <c r="DN21" s="1148"/>
      <c r="DO21" s="1148"/>
      <c r="DP21" s="1148"/>
      <c r="DQ21" s="1148"/>
      <c r="DR21" s="1148"/>
      <c r="DS21" s="1148"/>
      <c r="DT21" s="1148"/>
      <c r="DU21" s="1148"/>
      <c r="DV21" s="1148"/>
      <c r="DW21" s="1148"/>
      <c r="DX21" s="1148"/>
      <c r="DY21" s="1148"/>
      <c r="DZ21" s="1148"/>
      <c r="EA21" s="1148"/>
    </row>
    <row r="22" spans="1:131" s="1149" customFormat="1" ht="35.1" customHeight="1">
      <c r="A22" s="1574"/>
      <c r="B22" s="1244" t="s">
        <v>804</v>
      </c>
      <c r="C22" s="1245"/>
      <c r="D22" s="1229"/>
      <c r="E22" s="1230">
        <v>0</v>
      </c>
      <c r="F22" s="1230">
        <f t="shared" si="11"/>
        <v>0</v>
      </c>
      <c r="G22" s="1231">
        <f t="shared" si="11"/>
        <v>0</v>
      </c>
      <c r="H22" s="1231">
        <f t="shared" si="11"/>
        <v>0</v>
      </c>
      <c r="I22" s="1232">
        <f t="shared" si="11"/>
        <v>0</v>
      </c>
      <c r="J22" s="1233">
        <f t="shared" si="11"/>
        <v>0</v>
      </c>
      <c r="K22" s="1234">
        <f t="shared" si="11"/>
        <v>0</v>
      </c>
      <c r="L22" s="1234">
        <f t="shared" si="11"/>
        <v>5950.5</v>
      </c>
      <c r="M22" s="1235">
        <f t="shared" si="11"/>
        <v>5950.5</v>
      </c>
      <c r="N22" s="1233">
        <f t="shared" si="11"/>
        <v>0</v>
      </c>
      <c r="O22" s="1234">
        <f t="shared" si="11"/>
        <v>0</v>
      </c>
      <c r="P22" s="1234">
        <f t="shared" si="11"/>
        <v>33719.5</v>
      </c>
      <c r="Q22" s="1235">
        <f t="shared" si="11"/>
        <v>33719.5</v>
      </c>
      <c r="R22" s="1233">
        <f t="shared" si="10"/>
        <v>0</v>
      </c>
      <c r="S22" s="1234">
        <f t="shared" si="10"/>
        <v>0</v>
      </c>
      <c r="T22" s="1234">
        <f t="shared" si="10"/>
        <v>39670</v>
      </c>
      <c r="U22" s="1235">
        <f t="shared" si="10"/>
        <v>39670</v>
      </c>
      <c r="V22" s="1148"/>
      <c r="W22" s="1148"/>
      <c r="X22" s="1148"/>
      <c r="Y22" s="1148"/>
      <c r="Z22" s="1148"/>
      <c r="AA22" s="1148"/>
      <c r="AB22" s="1148"/>
      <c r="AC22" s="1148"/>
      <c r="AD22" s="1148"/>
      <c r="AE22" s="1148"/>
      <c r="AF22" s="1148"/>
      <c r="AG22" s="1148"/>
      <c r="AH22" s="1148"/>
      <c r="AI22" s="1148"/>
      <c r="AJ22" s="1148"/>
      <c r="AK22" s="1148"/>
      <c r="AL22" s="1148"/>
      <c r="AM22" s="1148"/>
      <c r="AN22" s="1148"/>
      <c r="AO22" s="1148"/>
      <c r="AP22" s="1148"/>
      <c r="AQ22" s="1148"/>
      <c r="AR22" s="1148"/>
      <c r="AS22" s="1148"/>
      <c r="AT22" s="1148"/>
      <c r="AU22" s="1148"/>
      <c r="AV22" s="1148"/>
      <c r="AW22" s="1148"/>
      <c r="AX22" s="1148"/>
      <c r="AY22" s="1148"/>
      <c r="AZ22" s="1148"/>
      <c r="BA22" s="1148"/>
      <c r="BB22" s="1148"/>
      <c r="BC22" s="1148"/>
      <c r="BD22" s="1148"/>
      <c r="BE22" s="1148"/>
      <c r="BF22" s="1148"/>
      <c r="BG22" s="1148"/>
      <c r="BH22" s="1148"/>
      <c r="BI22" s="1148"/>
      <c r="BJ22" s="1148"/>
      <c r="BK22" s="1148"/>
      <c r="BL22" s="1148"/>
      <c r="BM22" s="1148"/>
      <c r="BN22" s="1148"/>
      <c r="BO22" s="1148"/>
      <c r="BP22" s="1148"/>
      <c r="BQ22" s="1148"/>
      <c r="BR22" s="1148"/>
      <c r="BS22" s="1148"/>
      <c r="BT22" s="1148"/>
      <c r="BU22" s="1148"/>
      <c r="BV22" s="1148"/>
      <c r="BW22" s="1148"/>
      <c r="BX22" s="1148"/>
      <c r="BY22" s="1148"/>
      <c r="BZ22" s="1148"/>
      <c r="CA22" s="1148"/>
      <c r="CB22" s="1148"/>
      <c r="CC22" s="1148"/>
      <c r="CD22" s="1148"/>
      <c r="CE22" s="1148"/>
      <c r="CF22" s="1148"/>
      <c r="CG22" s="1148"/>
      <c r="CH22" s="1148"/>
      <c r="CI22" s="1148"/>
      <c r="CJ22" s="1148"/>
      <c r="CK22" s="1148"/>
      <c r="CL22" s="1148"/>
      <c r="CM22" s="1148"/>
      <c r="CN22" s="1148"/>
      <c r="CO22" s="1148"/>
      <c r="CP22" s="1148"/>
      <c r="CQ22" s="1148"/>
      <c r="CR22" s="1148"/>
      <c r="CS22" s="1148"/>
      <c r="CT22" s="1148"/>
      <c r="CU22" s="1148"/>
      <c r="CV22" s="1148"/>
      <c r="CW22" s="1148"/>
      <c r="CX22" s="1148"/>
      <c r="CY22" s="1148"/>
      <c r="CZ22" s="1148"/>
      <c r="DA22" s="1148"/>
      <c r="DB22" s="1148"/>
      <c r="DC22" s="1148"/>
      <c r="DD22" s="1148"/>
      <c r="DE22" s="1148"/>
      <c r="DF22" s="1148"/>
      <c r="DG22" s="1148"/>
      <c r="DH22" s="1148"/>
      <c r="DI22" s="1148"/>
      <c r="DJ22" s="1148"/>
      <c r="DK22" s="1148"/>
      <c r="DL22" s="1148"/>
      <c r="DM22" s="1148"/>
      <c r="DN22" s="1148"/>
      <c r="DO22" s="1148"/>
      <c r="DP22" s="1148"/>
      <c r="DQ22" s="1148"/>
      <c r="DR22" s="1148"/>
      <c r="DS22" s="1148"/>
      <c r="DT22" s="1148"/>
      <c r="DU22" s="1148"/>
      <c r="DV22" s="1148"/>
      <c r="DW22" s="1148"/>
      <c r="DX22" s="1148"/>
      <c r="DY22" s="1148"/>
      <c r="DZ22" s="1148"/>
      <c r="EA22" s="1148"/>
    </row>
    <row r="23" spans="1:131" s="1149" customFormat="1" ht="35.1" customHeight="1" thickBot="1">
      <c r="A23" s="1575"/>
      <c r="B23" s="1151" t="s">
        <v>802</v>
      </c>
      <c r="C23" s="1246"/>
      <c r="D23" s="1247">
        <f t="shared" si="5"/>
        <v>36663.538333333338</v>
      </c>
      <c r="E23" s="1248">
        <v>0</v>
      </c>
      <c r="F23" s="1248">
        <f t="shared" si="11"/>
        <v>0</v>
      </c>
      <c r="G23" s="1249">
        <f t="shared" si="11"/>
        <v>0</v>
      </c>
      <c r="H23" s="1249">
        <f t="shared" si="11"/>
        <v>1</v>
      </c>
      <c r="I23" s="1250">
        <f t="shared" si="11"/>
        <v>1</v>
      </c>
      <c r="J23" s="1251">
        <f t="shared" si="11"/>
        <v>65994.39</v>
      </c>
      <c r="K23" s="1252">
        <f t="shared" si="11"/>
        <v>0</v>
      </c>
      <c r="L23" s="1252">
        <f t="shared" si="11"/>
        <v>5950.5</v>
      </c>
      <c r="M23" s="1253">
        <f t="shared" si="11"/>
        <v>71944.89</v>
      </c>
      <c r="N23" s="1251">
        <f t="shared" si="11"/>
        <v>373968.07</v>
      </c>
      <c r="O23" s="1252">
        <f t="shared" si="11"/>
        <v>0</v>
      </c>
      <c r="P23" s="1252">
        <f t="shared" si="11"/>
        <v>33719.5</v>
      </c>
      <c r="Q23" s="1253">
        <f t="shared" si="11"/>
        <v>407687.57</v>
      </c>
      <c r="R23" s="1251">
        <f t="shared" si="10"/>
        <v>439962.46</v>
      </c>
      <c r="S23" s="1252">
        <f t="shared" si="10"/>
        <v>0</v>
      </c>
      <c r="T23" s="1252">
        <f t="shared" si="10"/>
        <v>39670</v>
      </c>
      <c r="U23" s="1253">
        <f t="shared" si="10"/>
        <v>479632.46</v>
      </c>
      <c r="V23" s="1148"/>
      <c r="W23" s="1148"/>
      <c r="X23" s="1148"/>
      <c r="Y23" s="1148"/>
      <c r="Z23" s="1148"/>
      <c r="AA23" s="1148"/>
      <c r="AB23" s="1148"/>
      <c r="AC23" s="1148"/>
      <c r="AD23" s="1148"/>
      <c r="AE23" s="1148"/>
      <c r="AF23" s="1148"/>
      <c r="AG23" s="1148"/>
      <c r="AH23" s="1148"/>
      <c r="AI23" s="1148"/>
      <c r="AJ23" s="1148"/>
      <c r="AK23" s="1148"/>
      <c r="AL23" s="1148"/>
      <c r="AM23" s="1148"/>
      <c r="AN23" s="1148"/>
      <c r="AO23" s="1148"/>
      <c r="AP23" s="1148"/>
      <c r="AQ23" s="1148"/>
      <c r="AR23" s="1148"/>
      <c r="AS23" s="1148"/>
      <c r="AT23" s="1148"/>
      <c r="AU23" s="1148"/>
      <c r="AV23" s="1148"/>
      <c r="AW23" s="1148"/>
      <c r="AX23" s="1148"/>
      <c r="AY23" s="1148"/>
      <c r="AZ23" s="1148"/>
      <c r="BA23" s="1148"/>
      <c r="BB23" s="1148"/>
      <c r="BC23" s="1148"/>
      <c r="BD23" s="1148"/>
      <c r="BE23" s="1148"/>
      <c r="BF23" s="1148"/>
      <c r="BG23" s="1148"/>
      <c r="BH23" s="1148"/>
      <c r="BI23" s="1148"/>
      <c r="BJ23" s="1148"/>
      <c r="BK23" s="1148"/>
      <c r="BL23" s="1148"/>
      <c r="BM23" s="1148"/>
      <c r="BN23" s="1148"/>
      <c r="BO23" s="1148"/>
      <c r="BP23" s="1148"/>
      <c r="BQ23" s="1148"/>
      <c r="BR23" s="1148"/>
      <c r="BS23" s="1148"/>
      <c r="BT23" s="1148"/>
      <c r="BU23" s="1148"/>
      <c r="BV23" s="1148"/>
      <c r="BW23" s="1148"/>
      <c r="BX23" s="1148"/>
      <c r="BY23" s="1148"/>
      <c r="BZ23" s="1148"/>
      <c r="CA23" s="1148"/>
      <c r="CB23" s="1148"/>
      <c r="CC23" s="1148"/>
      <c r="CD23" s="1148"/>
      <c r="CE23" s="1148"/>
      <c r="CF23" s="1148"/>
      <c r="CG23" s="1148"/>
      <c r="CH23" s="1148"/>
      <c r="CI23" s="1148"/>
      <c r="CJ23" s="1148"/>
      <c r="CK23" s="1148"/>
      <c r="CL23" s="1148"/>
      <c r="CM23" s="1148"/>
      <c r="CN23" s="1148"/>
      <c r="CO23" s="1148"/>
      <c r="CP23" s="1148"/>
      <c r="CQ23" s="1148"/>
      <c r="CR23" s="1148"/>
      <c r="CS23" s="1148"/>
      <c r="CT23" s="1148"/>
      <c r="CU23" s="1148"/>
      <c r="CV23" s="1148"/>
      <c r="CW23" s="1148"/>
      <c r="CX23" s="1148"/>
      <c r="CY23" s="1148"/>
      <c r="CZ23" s="1148"/>
      <c r="DA23" s="1148"/>
      <c r="DB23" s="1148"/>
      <c r="DC23" s="1148"/>
      <c r="DD23" s="1148"/>
      <c r="DE23" s="1148"/>
      <c r="DF23" s="1148"/>
      <c r="DG23" s="1148"/>
      <c r="DH23" s="1148"/>
      <c r="DI23" s="1148"/>
      <c r="DJ23" s="1148"/>
      <c r="DK23" s="1148"/>
      <c r="DL23" s="1148"/>
      <c r="DM23" s="1148"/>
      <c r="DN23" s="1148"/>
      <c r="DO23" s="1148"/>
      <c r="DP23" s="1148"/>
      <c r="DQ23" s="1148"/>
      <c r="DR23" s="1148"/>
      <c r="DS23" s="1148"/>
      <c r="DT23" s="1148"/>
      <c r="DU23" s="1148"/>
      <c r="DV23" s="1148"/>
      <c r="DW23" s="1148"/>
      <c r="DX23" s="1148"/>
      <c r="DY23" s="1148"/>
      <c r="DZ23" s="1148"/>
      <c r="EA23" s="1148"/>
    </row>
    <row r="24" spans="1:131" s="1149" customFormat="1" ht="19.5" customHeight="1">
      <c r="A24" s="1152"/>
      <c r="B24" s="1153"/>
      <c r="C24" s="1153"/>
      <c r="D24" s="1153"/>
      <c r="E24" s="1153"/>
      <c r="F24" s="1154"/>
      <c r="G24" s="1154"/>
      <c r="H24" s="1154"/>
      <c r="I24" s="1154"/>
      <c r="J24" s="1154"/>
      <c r="K24" s="1154"/>
      <c r="L24" s="1153"/>
      <c r="M24" s="1153"/>
      <c r="N24" s="1154"/>
      <c r="O24" s="1154"/>
      <c r="P24" s="1155"/>
      <c r="Q24" s="1153"/>
      <c r="R24" s="1154"/>
      <c r="S24" s="1154"/>
      <c r="T24" s="1153"/>
      <c r="U24" s="1156"/>
      <c r="V24" s="1148"/>
      <c r="W24" s="1148"/>
      <c r="X24" s="1148"/>
      <c r="Y24" s="1148"/>
      <c r="Z24" s="1148"/>
      <c r="AA24" s="1148"/>
      <c r="AB24" s="1148"/>
      <c r="AC24" s="1148"/>
      <c r="AD24" s="1148"/>
      <c r="AE24" s="1148"/>
      <c r="AF24" s="1148"/>
      <c r="AG24" s="1148"/>
      <c r="AH24" s="1148"/>
      <c r="AI24" s="1148"/>
      <c r="AJ24" s="1148"/>
      <c r="AK24" s="1148"/>
      <c r="AL24" s="1148"/>
      <c r="AM24" s="1148"/>
      <c r="AN24" s="1148"/>
      <c r="AO24" s="1148"/>
      <c r="AP24" s="1148"/>
      <c r="AQ24" s="1148"/>
      <c r="AR24" s="1148"/>
      <c r="AS24" s="1148"/>
      <c r="AT24" s="1148"/>
      <c r="AU24" s="1148"/>
      <c r="AV24" s="1148"/>
      <c r="AW24" s="1148"/>
      <c r="AX24" s="1148"/>
      <c r="AY24" s="1148"/>
      <c r="AZ24" s="1148"/>
      <c r="BA24" s="1148"/>
      <c r="BB24" s="1148"/>
      <c r="BC24" s="1148"/>
      <c r="BD24" s="1148"/>
      <c r="BE24" s="1148"/>
      <c r="BF24" s="1148"/>
      <c r="BG24" s="1148"/>
      <c r="BH24" s="1148"/>
      <c r="BI24" s="1148"/>
      <c r="BJ24" s="1148"/>
      <c r="BK24" s="1148"/>
      <c r="BL24" s="1148"/>
      <c r="BM24" s="1148"/>
      <c r="BN24" s="1148"/>
      <c r="BO24" s="1148"/>
      <c r="BP24" s="1148"/>
      <c r="BQ24" s="1148"/>
      <c r="BR24" s="1148"/>
      <c r="BS24" s="1148"/>
      <c r="BT24" s="1148"/>
      <c r="BU24" s="1148"/>
      <c r="BV24" s="1148"/>
      <c r="BW24" s="1148"/>
      <c r="BX24" s="1148"/>
      <c r="BY24" s="1148"/>
      <c r="BZ24" s="1148"/>
      <c r="CA24" s="1148"/>
      <c r="CB24" s="1148"/>
      <c r="CC24" s="1148"/>
      <c r="CD24" s="1148"/>
      <c r="CE24" s="1148"/>
      <c r="CF24" s="1148"/>
      <c r="CG24" s="1148"/>
      <c r="CH24" s="1148"/>
      <c r="CI24" s="1148"/>
      <c r="CJ24" s="1148"/>
      <c r="CK24" s="1148"/>
      <c r="CL24" s="1148"/>
      <c r="CM24" s="1148"/>
      <c r="CN24" s="1148"/>
      <c r="CO24" s="1148"/>
      <c r="CP24" s="1148"/>
      <c r="CQ24" s="1148"/>
      <c r="CR24" s="1148"/>
      <c r="CS24" s="1148"/>
      <c r="CT24" s="1148"/>
      <c r="CU24" s="1148"/>
      <c r="CV24" s="1148"/>
      <c r="CW24" s="1148"/>
      <c r="CX24" s="1148"/>
      <c r="CY24" s="1148"/>
      <c r="CZ24" s="1148"/>
      <c r="DA24" s="1148"/>
      <c r="DB24" s="1148"/>
      <c r="DC24" s="1148"/>
      <c r="DD24" s="1148"/>
      <c r="DE24" s="1148"/>
      <c r="DF24" s="1148"/>
      <c r="DG24" s="1148"/>
      <c r="DH24" s="1148"/>
      <c r="DI24" s="1148"/>
      <c r="DJ24" s="1148"/>
      <c r="DK24" s="1148"/>
      <c r="DL24" s="1148"/>
      <c r="DM24" s="1148"/>
      <c r="DN24" s="1148"/>
      <c r="DO24" s="1148"/>
      <c r="DP24" s="1148"/>
      <c r="DQ24" s="1148"/>
      <c r="DR24" s="1148"/>
      <c r="DS24" s="1148"/>
      <c r="DT24" s="1148"/>
      <c r="DU24" s="1148"/>
      <c r="DV24" s="1148"/>
      <c r="DW24" s="1148"/>
      <c r="DX24" s="1148"/>
      <c r="DY24" s="1148"/>
      <c r="DZ24" s="1148"/>
      <c r="EA24" s="1148"/>
    </row>
    <row r="25" spans="1:131" s="1157" customFormat="1" ht="40.5" hidden="1" customHeight="1">
      <c r="A25" s="1536" t="s">
        <v>805</v>
      </c>
      <c r="B25" s="1536"/>
      <c r="C25" s="1536"/>
      <c r="D25" s="1536"/>
      <c r="E25" s="1536"/>
      <c r="F25" s="1536"/>
      <c r="G25" s="1536"/>
      <c r="H25" s="1536"/>
      <c r="I25" s="1536"/>
      <c r="J25" s="1536"/>
      <c r="K25" s="1536"/>
      <c r="L25" s="1536"/>
      <c r="M25" s="1536"/>
      <c r="N25" s="1536"/>
      <c r="O25" s="1536"/>
      <c r="P25" s="1536"/>
      <c r="Q25" s="1536"/>
      <c r="R25" s="1536"/>
      <c r="S25" s="1536"/>
      <c r="T25" s="1536"/>
      <c r="U25" s="1536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</row>
    <row r="26" spans="1:131" s="1157" customFormat="1" ht="30" hidden="1" customHeight="1">
      <c r="A26" s="1158" t="s">
        <v>806</v>
      </c>
      <c r="B26" s="1158"/>
      <c r="C26" s="1158"/>
      <c r="D26" s="1158"/>
      <c r="E26" s="1158"/>
      <c r="F26" s="1158"/>
      <c r="G26" s="1158"/>
      <c r="H26" s="1158"/>
      <c r="I26" s="1158"/>
      <c r="J26" s="1159"/>
      <c r="K26" s="1159"/>
      <c r="L26" s="1159"/>
      <c r="M26" s="1160"/>
      <c r="N26" s="1159"/>
      <c r="O26" s="1159"/>
      <c r="P26" s="1159"/>
      <c r="Q26" s="1159"/>
      <c r="R26" s="1159"/>
      <c r="S26" s="1161"/>
      <c r="T26" s="1161"/>
      <c r="U26" s="1161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</row>
    <row r="27" spans="1:131" s="1157" customFormat="1" ht="30" hidden="1" customHeight="1">
      <c r="A27" s="1158" t="s">
        <v>807</v>
      </c>
      <c r="B27" s="1158"/>
      <c r="C27" s="1158"/>
      <c r="D27" s="1158"/>
      <c r="E27" s="1158"/>
      <c r="F27" s="1158"/>
      <c r="G27" s="1158"/>
      <c r="H27" s="1158"/>
      <c r="I27" s="1158"/>
      <c r="J27" s="1158"/>
      <c r="K27" s="1158"/>
      <c r="L27" s="1158"/>
      <c r="M27" s="1162"/>
      <c r="N27" s="1158"/>
      <c r="O27" s="1158"/>
      <c r="P27" s="1158"/>
      <c r="Q27" s="1158"/>
      <c r="R27" s="1158"/>
      <c r="S27" s="1158"/>
      <c r="T27" s="1158"/>
      <c r="U27" s="1163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</row>
    <row r="28" spans="1:131" s="1157" customFormat="1" ht="30" hidden="1" customHeight="1">
      <c r="A28" s="1158" t="s">
        <v>808</v>
      </c>
      <c r="B28" s="1158"/>
      <c r="C28" s="1158"/>
      <c r="D28" s="1158"/>
      <c r="E28" s="1158"/>
      <c r="F28" s="1158"/>
      <c r="G28" s="1158"/>
      <c r="H28" s="1158"/>
      <c r="I28" s="1158"/>
      <c r="J28" s="1159"/>
      <c r="K28" s="1159"/>
      <c r="L28" s="1159"/>
      <c r="M28" s="1160"/>
      <c r="N28" s="1159"/>
      <c r="O28" s="1160"/>
      <c r="P28" s="1159"/>
      <c r="Q28" s="1159"/>
      <c r="R28" s="1159"/>
      <c r="S28" s="1164"/>
      <c r="T28" s="1164"/>
      <c r="U28" s="1164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</row>
    <row r="29" spans="1:131" s="1157" customFormat="1" ht="30" hidden="1" customHeight="1">
      <c r="A29" s="1159" t="s">
        <v>809</v>
      </c>
      <c r="B29" s="1164"/>
      <c r="C29" s="1164"/>
      <c r="D29" s="1164"/>
      <c r="E29" s="1164"/>
      <c r="F29" s="1164"/>
      <c r="G29" s="1164"/>
      <c r="H29" s="1164"/>
      <c r="I29" s="1164"/>
      <c r="J29" s="1164"/>
      <c r="K29" s="1164"/>
      <c r="L29" s="1164"/>
      <c r="M29" s="1164"/>
      <c r="N29" s="1164"/>
      <c r="O29" s="1164"/>
      <c r="P29" s="1164"/>
      <c r="Q29" s="1164"/>
      <c r="R29" s="1164"/>
      <c r="S29" s="1161"/>
      <c r="T29" s="1161"/>
      <c r="U29" s="1161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</row>
    <row r="30" spans="1:131" s="1157" customFormat="1" ht="30" hidden="1" customHeight="1">
      <c r="A30" s="1165" t="s">
        <v>810</v>
      </c>
      <c r="B30" s="1166"/>
      <c r="C30" s="1166"/>
      <c r="D30" s="1166"/>
      <c r="E30" s="1166"/>
      <c r="F30" s="1166"/>
      <c r="G30" s="1166"/>
      <c r="H30" s="1166"/>
      <c r="I30" s="1166"/>
      <c r="J30" s="1166"/>
      <c r="K30" s="1166"/>
      <c r="L30" s="1166"/>
      <c r="M30" s="1160"/>
      <c r="N30" s="1159"/>
      <c r="O30" s="1159"/>
      <c r="P30" s="1159"/>
      <c r="Q30" s="1159"/>
      <c r="R30" s="1159"/>
      <c r="S30" s="1161"/>
      <c r="T30" s="1161"/>
      <c r="U30" s="1161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</row>
    <row r="31" spans="1:131" s="1157" customFormat="1" ht="30" hidden="1" customHeight="1">
      <c r="A31" s="1158" t="s">
        <v>811</v>
      </c>
      <c r="B31" s="1167"/>
      <c r="C31" s="1167"/>
      <c r="D31" s="1167"/>
      <c r="E31" s="1167"/>
      <c r="F31" s="1167"/>
      <c r="G31" s="1167"/>
      <c r="H31" s="1167"/>
      <c r="I31" s="1167"/>
      <c r="J31" s="1167"/>
      <c r="K31" s="1167"/>
      <c r="L31" s="1167"/>
      <c r="M31" s="1159"/>
      <c r="N31" s="1159"/>
      <c r="O31" s="1159"/>
      <c r="P31" s="1159"/>
      <c r="Q31" s="1159"/>
      <c r="R31" s="1159"/>
      <c r="S31" s="1161"/>
      <c r="T31" s="1161"/>
      <c r="U31" s="1161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</row>
    <row r="32" spans="1:131" s="1157" customFormat="1" ht="30" hidden="1" customHeight="1">
      <c r="A32" s="1158" t="s">
        <v>812</v>
      </c>
      <c r="B32" s="1159"/>
      <c r="C32" s="1159"/>
      <c r="D32" s="1159"/>
      <c r="E32" s="1159"/>
      <c r="F32" s="1159"/>
      <c r="G32" s="1159"/>
      <c r="H32" s="1159"/>
      <c r="I32" s="1159"/>
      <c r="J32" s="1159"/>
      <c r="K32" s="1159"/>
      <c r="L32" s="1159"/>
      <c r="M32" s="1159"/>
      <c r="N32" s="1159"/>
      <c r="O32" s="1159"/>
      <c r="P32" s="1159"/>
      <c r="Q32" s="1159"/>
      <c r="R32" s="1159"/>
      <c r="S32" s="1161"/>
      <c r="T32" s="1161"/>
      <c r="U32" s="1161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</row>
    <row r="33" spans="1:131" s="1157" customFormat="1" ht="30" hidden="1" customHeight="1">
      <c r="A33" s="1165" t="s">
        <v>813</v>
      </c>
      <c r="B33" s="1166"/>
      <c r="C33" s="1166"/>
      <c r="D33" s="1159"/>
      <c r="E33" s="1159"/>
      <c r="F33" s="1159"/>
      <c r="G33" s="1159"/>
      <c r="H33" s="1159"/>
      <c r="I33" s="1159"/>
      <c r="J33" s="1159"/>
      <c r="K33" s="1159"/>
      <c r="L33" s="1159"/>
      <c r="M33" s="1159"/>
      <c r="N33" s="1159"/>
      <c r="O33" s="1159"/>
      <c r="P33" s="1159"/>
      <c r="Q33" s="1159"/>
      <c r="R33" s="1159"/>
      <c r="S33" s="1161"/>
      <c r="T33" s="1161"/>
      <c r="U33" s="1161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</row>
    <row r="34" spans="1:131" s="1157" customFormat="1" ht="30" hidden="1" customHeight="1">
      <c r="A34" s="1168" t="s">
        <v>728</v>
      </c>
      <c r="B34" s="1159"/>
      <c r="C34" s="1159"/>
      <c r="D34" s="1159"/>
      <c r="E34" s="1159"/>
      <c r="F34" s="1159"/>
      <c r="G34" s="1159"/>
      <c r="H34" s="1159"/>
      <c r="I34" s="1159"/>
      <c r="J34" s="1159"/>
      <c r="K34" s="1159"/>
      <c r="L34" s="1159"/>
      <c r="M34" s="1159"/>
      <c r="N34" s="1159"/>
      <c r="O34" s="1159"/>
      <c r="P34" s="1159"/>
      <c r="Q34" s="1159"/>
      <c r="R34" s="1159"/>
      <c r="S34" s="1161"/>
      <c r="T34" s="1161"/>
      <c r="U34" s="1161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</row>
    <row r="35" spans="1:131" s="1157" customFormat="1" ht="30" hidden="1" customHeight="1">
      <c r="A35" s="1168" t="s">
        <v>814</v>
      </c>
      <c r="B35" s="1159"/>
      <c r="C35" s="1159"/>
      <c r="D35" s="1159"/>
      <c r="E35" s="1159"/>
      <c r="F35" s="1159"/>
      <c r="G35" s="1159"/>
      <c r="H35" s="1159"/>
      <c r="I35" s="1159"/>
      <c r="J35" s="1159"/>
      <c r="K35" s="1159"/>
      <c r="L35" s="1159"/>
      <c r="M35" s="1159"/>
      <c r="N35" s="1159"/>
      <c r="O35" s="1159"/>
      <c r="P35" s="1159"/>
      <c r="Q35" s="1159"/>
      <c r="R35" s="1159"/>
      <c r="S35" s="1161"/>
      <c r="T35" s="1161"/>
      <c r="U35" s="1161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</row>
    <row r="36" spans="1:131" s="1157" customFormat="1" ht="30" customHeight="1">
      <c r="A36" s="1169"/>
      <c r="B36" s="1159"/>
      <c r="C36" s="1159"/>
      <c r="D36" s="1159"/>
      <c r="E36" s="1159"/>
      <c r="F36" s="1159"/>
      <c r="G36" s="1159"/>
      <c r="H36" s="1159"/>
      <c r="I36" s="1159"/>
      <c r="J36" s="1159"/>
      <c r="K36" s="1159"/>
      <c r="L36" s="1159"/>
      <c r="M36" s="1159"/>
      <c r="N36" s="1159"/>
      <c r="O36" s="1159"/>
      <c r="P36" s="1159"/>
      <c r="Q36" s="1159"/>
      <c r="R36" s="1159"/>
      <c r="S36" s="1161"/>
      <c r="T36" s="1161"/>
      <c r="U36" s="1161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</row>
    <row r="37" spans="1:131" s="1182" customFormat="1" ht="23.25" customHeight="1">
      <c r="A37" s="1283" t="s">
        <v>831</v>
      </c>
      <c r="B37" s="1283"/>
      <c r="C37" s="1283"/>
      <c r="D37" s="1283"/>
      <c r="E37" s="1283"/>
      <c r="F37" s="1283"/>
      <c r="G37" s="1283"/>
      <c r="H37" s="1284" t="s">
        <v>816</v>
      </c>
      <c r="I37" s="1284"/>
      <c r="J37" s="1284"/>
      <c r="K37" s="1284"/>
      <c r="L37" s="1179"/>
      <c r="M37" s="1179"/>
      <c r="N37" s="1179"/>
      <c r="O37" s="1179"/>
      <c r="Q37" s="1179"/>
      <c r="R37" s="1179" t="s">
        <v>830</v>
      </c>
      <c r="S37" s="1180"/>
      <c r="T37" s="1180"/>
      <c r="U37" s="1180"/>
      <c r="V37" s="1181"/>
      <c r="W37" s="1181"/>
      <c r="X37" s="1181"/>
      <c r="Y37" s="1181"/>
      <c r="Z37" s="1181"/>
      <c r="AA37" s="1181"/>
      <c r="AB37" s="1181"/>
      <c r="AC37" s="1181"/>
      <c r="AD37" s="1181"/>
      <c r="AE37" s="1181"/>
      <c r="AF37" s="1181"/>
      <c r="AG37" s="1181"/>
      <c r="AH37" s="1181"/>
      <c r="AI37" s="1181"/>
      <c r="AJ37" s="1181"/>
      <c r="AK37" s="1181"/>
      <c r="AL37" s="1181"/>
      <c r="AM37" s="1181"/>
      <c r="AN37" s="1181"/>
      <c r="AO37" s="1181"/>
      <c r="AP37" s="1181"/>
      <c r="AQ37" s="1181"/>
      <c r="AR37" s="1181"/>
      <c r="AS37" s="1181"/>
      <c r="AT37" s="1181"/>
      <c r="AU37" s="1181"/>
      <c r="AV37" s="1181"/>
      <c r="AW37" s="1181"/>
      <c r="AX37" s="1181"/>
      <c r="AY37" s="1181"/>
      <c r="AZ37" s="1181"/>
      <c r="BA37" s="1181"/>
      <c r="BB37" s="1181"/>
      <c r="BC37" s="1181"/>
      <c r="BD37" s="1181"/>
      <c r="BE37" s="1181"/>
      <c r="BF37" s="1181"/>
      <c r="BG37" s="1181"/>
      <c r="BH37" s="1181"/>
      <c r="BI37" s="1181"/>
      <c r="BJ37" s="1181"/>
      <c r="BK37" s="1181"/>
      <c r="BL37" s="1181"/>
      <c r="BM37" s="1181"/>
      <c r="BN37" s="1181"/>
      <c r="BO37" s="1181"/>
      <c r="BP37" s="1181"/>
      <c r="BQ37" s="1181"/>
      <c r="BR37" s="1181"/>
      <c r="BS37" s="1181"/>
      <c r="BT37" s="1181"/>
      <c r="BU37" s="1181"/>
      <c r="BV37" s="1181"/>
      <c r="BW37" s="1181"/>
      <c r="BX37" s="1181"/>
      <c r="BY37" s="1181"/>
      <c r="BZ37" s="1181"/>
      <c r="CA37" s="1181"/>
      <c r="CB37" s="1181"/>
      <c r="CC37" s="1181"/>
      <c r="CD37" s="1181"/>
      <c r="CE37" s="1181"/>
      <c r="CF37" s="1181"/>
      <c r="CG37" s="1181"/>
      <c r="CH37" s="1181"/>
      <c r="CI37" s="1181"/>
      <c r="CJ37" s="1181"/>
      <c r="CK37" s="1181"/>
      <c r="CL37" s="1181"/>
      <c r="CM37" s="1181"/>
      <c r="CN37" s="1181"/>
      <c r="CO37" s="1181"/>
      <c r="CP37" s="1181"/>
      <c r="CQ37" s="1181"/>
      <c r="CR37" s="1181"/>
      <c r="CS37" s="1181"/>
      <c r="CT37" s="1181"/>
      <c r="CU37" s="1181"/>
      <c r="CV37" s="1181"/>
      <c r="CW37" s="1181"/>
      <c r="CX37" s="1181"/>
      <c r="CY37" s="1181"/>
      <c r="CZ37" s="1181"/>
      <c r="DA37" s="1181"/>
      <c r="DB37" s="1181"/>
      <c r="DC37" s="1181"/>
      <c r="DD37" s="1181"/>
      <c r="DE37" s="1181"/>
      <c r="DF37" s="1181"/>
      <c r="DG37" s="1181"/>
      <c r="DH37" s="1181"/>
      <c r="DI37" s="1181"/>
      <c r="DJ37" s="1181"/>
      <c r="DK37" s="1181"/>
      <c r="DL37" s="1181"/>
      <c r="DM37" s="1181"/>
      <c r="DN37" s="1181"/>
      <c r="DO37" s="1181"/>
      <c r="DP37" s="1181"/>
      <c r="DQ37" s="1181"/>
      <c r="DR37" s="1181"/>
      <c r="DS37" s="1181"/>
      <c r="DT37" s="1181"/>
      <c r="DU37" s="1181"/>
      <c r="DV37" s="1181"/>
      <c r="DW37" s="1181"/>
      <c r="DX37" s="1181"/>
      <c r="DY37" s="1181"/>
      <c r="DZ37" s="1181"/>
      <c r="EA37" s="1181"/>
    </row>
    <row r="38" spans="1:131" s="1157" customFormat="1" ht="25.5" customHeight="1">
      <c r="A38" s="1254"/>
      <c r="B38" s="1254"/>
      <c r="C38" s="1254"/>
      <c r="D38" s="1254"/>
      <c r="E38" s="1254"/>
      <c r="F38" s="1254"/>
      <c r="G38" s="1254"/>
      <c r="H38" s="1255"/>
      <c r="I38" s="1255"/>
      <c r="J38" s="1255"/>
      <c r="K38" s="1255"/>
      <c r="L38" s="1171"/>
      <c r="M38" s="1171"/>
      <c r="N38" s="1171"/>
      <c r="O38" s="1171"/>
      <c r="P38" s="1171"/>
      <c r="Q38" s="1171"/>
      <c r="R38" s="1171"/>
      <c r="S38" s="1161"/>
      <c r="T38" s="1161"/>
      <c r="U38" s="1161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</row>
    <row r="39" spans="1:131" s="1157" customFormat="1" ht="24.75" customHeight="1">
      <c r="A39" s="1173"/>
      <c r="B39" s="1174"/>
      <c r="C39" s="1174"/>
      <c r="D39" s="1175"/>
      <c r="E39" s="1176"/>
      <c r="F39" s="1177"/>
      <c r="G39" s="1177"/>
      <c r="H39" s="1177"/>
      <c r="I39" s="1177"/>
      <c r="J39" s="1176"/>
      <c r="K39" s="1176"/>
      <c r="L39" s="1176"/>
      <c r="M39" s="1176"/>
      <c r="N39" s="1176"/>
      <c r="O39" s="1176"/>
      <c r="P39" s="1176"/>
      <c r="Q39" s="1176"/>
      <c r="R39" s="1176"/>
      <c r="S39" s="1176"/>
      <c r="T39" s="1176"/>
      <c r="U39" s="1176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</row>
    <row r="43" spans="1:131" ht="20.25">
      <c r="A43" s="1169"/>
    </row>
    <row r="44" spans="1:131" ht="20.25">
      <c r="A44" s="1169"/>
    </row>
  </sheetData>
  <mergeCells count="34">
    <mergeCell ref="A1:U1"/>
    <mergeCell ref="T2:U2"/>
    <mergeCell ref="A4:U4"/>
    <mergeCell ref="A6:A11"/>
    <mergeCell ref="B6:B11"/>
    <mergeCell ref="C6:C11"/>
    <mergeCell ref="D6:D10"/>
    <mergeCell ref="E6:E10"/>
    <mergeCell ref="F6:I7"/>
    <mergeCell ref="J6:U6"/>
    <mergeCell ref="J7:M7"/>
    <mergeCell ref="N7:Q7"/>
    <mergeCell ref="R7:U7"/>
    <mergeCell ref="F8:F10"/>
    <mergeCell ref="G8:G10"/>
    <mergeCell ref="H8:H10"/>
    <mergeCell ref="I8:I10"/>
    <mergeCell ref="J8:J10"/>
    <mergeCell ref="K8:K10"/>
    <mergeCell ref="L8:L10"/>
    <mergeCell ref="A20:A23"/>
    <mergeCell ref="A25:U25"/>
    <mergeCell ref="S8:S10"/>
    <mergeCell ref="T8:T10"/>
    <mergeCell ref="U8:U10"/>
    <mergeCell ref="A12:A15"/>
    <mergeCell ref="A16:A19"/>
    <mergeCell ref="C16:C19"/>
    <mergeCell ref="M8:M10"/>
    <mergeCell ref="N8:N10"/>
    <mergeCell ref="O8:O10"/>
    <mergeCell ref="P8:P10"/>
    <mergeCell ref="Q8:Q10"/>
    <mergeCell ref="R8:R10"/>
  </mergeCells>
  <printOptions horizontalCentered="1"/>
  <pageMargins left="0.39370078740157483" right="0.39370078740157483" top="0.98425196850393704" bottom="0.78740157480314965" header="0.78740157480314965" footer="0.39370078740157483"/>
  <pageSetup paperSize="9" scale="33" orientation="landscape" r:id="rId1"/>
  <headerFooter>
    <oddHeader xml:space="preserve">&amp;R&amp;"Arial CE,Tučné"&amp;22Tabulka č. 9/b&amp;"Arial CE,Obyčejné"&amp;20
</oddHeader>
    <oddFooter xml:space="preserve">&amp;C&amp;20&amp;P+27&amp;10
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EA44"/>
  <sheetViews>
    <sheetView showGridLines="0" zoomScale="53" zoomScaleNormal="53" workbookViewId="0">
      <selection activeCell="A6" sqref="A6:A11"/>
    </sheetView>
  </sheetViews>
  <sheetFormatPr defaultColWidth="9.140625" defaultRowHeight="15"/>
  <cols>
    <col min="1" max="1" width="59.5703125" style="29" customWidth="1"/>
    <col min="2" max="2" width="35.5703125" style="29" customWidth="1"/>
    <col min="3" max="3" width="17.85546875" style="29" customWidth="1"/>
    <col min="4" max="4" width="16.5703125" style="29" customWidth="1"/>
    <col min="5" max="5" width="15.5703125" style="29" customWidth="1"/>
    <col min="6" max="6" width="22.7109375" style="29" customWidth="1"/>
    <col min="7" max="7" width="16.28515625" style="29" customWidth="1"/>
    <col min="8" max="8" width="19.28515625" style="29" customWidth="1"/>
    <col min="9" max="9" width="14.5703125" style="29" customWidth="1"/>
    <col min="10" max="10" width="16.140625" style="29" customWidth="1"/>
    <col min="11" max="11" width="15.140625" style="29" customWidth="1"/>
    <col min="12" max="12" width="19.28515625" style="29" customWidth="1"/>
    <col min="13" max="13" width="18.42578125" style="29" customWidth="1"/>
    <col min="14" max="14" width="16" style="29" customWidth="1"/>
    <col min="15" max="15" width="16.85546875" style="29" bestFit="1" customWidth="1"/>
    <col min="16" max="16" width="19.28515625" style="29" customWidth="1"/>
    <col min="17" max="17" width="21" style="29" customWidth="1"/>
    <col min="18" max="18" width="16.140625" style="29" customWidth="1"/>
    <col min="19" max="19" width="14.42578125" style="29" customWidth="1"/>
    <col min="20" max="20" width="19.28515625" style="29" customWidth="1"/>
    <col min="21" max="21" width="20.42578125" style="29" customWidth="1"/>
    <col min="22" max="22" width="13.5703125" style="32" bestFit="1" customWidth="1"/>
    <col min="23" max="131" width="9.140625" style="32" customWidth="1"/>
    <col min="132" max="16384" width="9.140625" style="29"/>
  </cols>
  <sheetData>
    <row r="1" spans="1:131" ht="20.100000000000001" customHeight="1">
      <c r="A1" s="1583"/>
      <c r="B1" s="1583"/>
      <c r="C1" s="1583"/>
      <c r="D1" s="1583"/>
      <c r="E1" s="1583"/>
      <c r="F1" s="1583"/>
      <c r="G1" s="1583"/>
      <c r="H1" s="1583"/>
      <c r="I1" s="1583"/>
      <c r="J1" s="1583"/>
      <c r="K1" s="1583"/>
      <c r="L1" s="1583"/>
      <c r="M1" s="1583"/>
      <c r="N1" s="1583"/>
      <c r="O1" s="1583"/>
      <c r="P1" s="1583"/>
      <c r="Q1" s="1583"/>
      <c r="R1" s="1583"/>
      <c r="S1" s="1583"/>
      <c r="T1" s="1583"/>
      <c r="U1" s="1583"/>
    </row>
    <row r="2" spans="1:131" ht="20.100000000000001" customHeight="1">
      <c r="A2" s="1288" t="s">
        <v>821</v>
      </c>
      <c r="B2" s="1136"/>
      <c r="C2" s="1136"/>
      <c r="D2" s="1136"/>
      <c r="E2" s="1136"/>
      <c r="F2" s="1136"/>
      <c r="G2" s="1136"/>
      <c r="H2" s="1136"/>
      <c r="I2" s="1136"/>
      <c r="J2" s="1136"/>
      <c r="K2" s="1136"/>
      <c r="L2" s="1136"/>
      <c r="M2" s="1136"/>
      <c r="N2" s="1136"/>
      <c r="O2" s="1136"/>
      <c r="P2" s="1136"/>
      <c r="Q2" s="1136"/>
      <c r="R2" s="1136"/>
      <c r="S2" s="1136"/>
      <c r="T2" s="1548"/>
      <c r="U2" s="1548"/>
    </row>
    <row r="3" spans="1:131" ht="24" customHeight="1">
      <c r="A3" s="1282" t="s">
        <v>826</v>
      </c>
      <c r="B3" s="1136"/>
      <c r="C3" s="1136"/>
      <c r="D3" s="1136"/>
      <c r="E3" s="1136"/>
      <c r="F3" s="1136"/>
      <c r="G3" s="1136"/>
      <c r="H3" s="1136"/>
      <c r="I3" s="1136"/>
      <c r="J3" s="1136"/>
      <c r="K3" s="1136"/>
      <c r="L3" s="1136"/>
      <c r="M3" s="1136"/>
      <c r="N3" s="1136"/>
      <c r="O3" s="1136"/>
      <c r="P3" s="1136"/>
      <c r="Q3" s="1136"/>
      <c r="R3" s="1136"/>
      <c r="S3" s="1136"/>
      <c r="T3" s="1219"/>
      <c r="U3" s="1219"/>
    </row>
    <row r="4" spans="1:131" ht="66.75" customHeight="1">
      <c r="A4" s="1549" t="s">
        <v>818</v>
      </c>
      <c r="B4" s="1549"/>
      <c r="C4" s="1549"/>
      <c r="D4" s="1549"/>
      <c r="E4" s="1549"/>
      <c r="F4" s="1549"/>
      <c r="G4" s="1549"/>
      <c r="H4" s="1549"/>
      <c r="I4" s="1549"/>
      <c r="J4" s="1549"/>
      <c r="K4" s="1549"/>
      <c r="L4" s="1549"/>
      <c r="M4" s="1549"/>
      <c r="N4" s="1549"/>
      <c r="O4" s="1549"/>
      <c r="P4" s="1549"/>
      <c r="Q4" s="1549"/>
      <c r="R4" s="1549"/>
      <c r="S4" s="1549"/>
      <c r="T4" s="1549"/>
      <c r="U4" s="1549"/>
    </row>
    <row r="5" spans="1:131" ht="24.75" customHeight="1" thickBot="1">
      <c r="A5" s="1138"/>
      <c r="B5" s="1138"/>
      <c r="C5" s="1138"/>
      <c r="D5" s="1138"/>
      <c r="E5" s="1138"/>
      <c r="F5" s="1138"/>
      <c r="G5" s="1138"/>
      <c r="H5" s="1138"/>
      <c r="I5" s="1138"/>
      <c r="J5" s="1138"/>
      <c r="K5" s="1138"/>
      <c r="L5" s="1138"/>
      <c r="M5" s="1138"/>
      <c r="N5" s="1138"/>
      <c r="O5" s="1138"/>
      <c r="P5" s="1138"/>
      <c r="Q5" s="1138"/>
      <c r="R5" s="1138"/>
      <c r="S5" s="1138"/>
      <c r="T5" s="1138"/>
      <c r="U5" s="1138"/>
    </row>
    <row r="6" spans="1:131" ht="45.75" customHeight="1">
      <c r="A6" s="1550"/>
      <c r="B6" s="1553" t="s">
        <v>782</v>
      </c>
      <c r="C6" s="1553" t="s">
        <v>783</v>
      </c>
      <c r="D6" s="1553" t="s">
        <v>784</v>
      </c>
      <c r="E6" s="1553" t="s">
        <v>785</v>
      </c>
      <c r="F6" s="1585" t="s">
        <v>786</v>
      </c>
      <c r="G6" s="1586"/>
      <c r="H6" s="1586"/>
      <c r="I6" s="1586"/>
      <c r="J6" s="1589" t="s">
        <v>787</v>
      </c>
      <c r="K6" s="1590"/>
      <c r="L6" s="1590"/>
      <c r="M6" s="1590"/>
      <c r="N6" s="1590"/>
      <c r="O6" s="1590"/>
      <c r="P6" s="1590"/>
      <c r="Q6" s="1590"/>
      <c r="R6" s="1590"/>
      <c r="S6" s="1590"/>
      <c r="T6" s="1590"/>
      <c r="U6" s="1591"/>
    </row>
    <row r="7" spans="1:131" ht="51.75" customHeight="1">
      <c r="A7" s="1551"/>
      <c r="B7" s="1554"/>
      <c r="C7" s="1554"/>
      <c r="D7" s="1554"/>
      <c r="E7" s="1554"/>
      <c r="F7" s="1587"/>
      <c r="G7" s="1588"/>
      <c r="H7" s="1588"/>
      <c r="I7" s="1588"/>
      <c r="J7" s="1580" t="s">
        <v>788</v>
      </c>
      <c r="K7" s="1581"/>
      <c r="L7" s="1581"/>
      <c r="M7" s="1582"/>
      <c r="N7" s="1580" t="s">
        <v>789</v>
      </c>
      <c r="O7" s="1581"/>
      <c r="P7" s="1581"/>
      <c r="Q7" s="1582"/>
      <c r="R7" s="1581" t="s">
        <v>17</v>
      </c>
      <c r="S7" s="1581"/>
      <c r="T7" s="1581"/>
      <c r="U7" s="1582"/>
    </row>
    <row r="8" spans="1:131" ht="21" customHeight="1">
      <c r="A8" s="1551"/>
      <c r="B8" s="1554"/>
      <c r="C8" s="1554"/>
      <c r="D8" s="1554"/>
      <c r="E8" s="1554"/>
      <c r="F8" s="1567" t="s">
        <v>790</v>
      </c>
      <c r="G8" s="1567" t="s">
        <v>791</v>
      </c>
      <c r="H8" s="1567" t="s">
        <v>792</v>
      </c>
      <c r="I8" s="1527" t="s">
        <v>17</v>
      </c>
      <c r="J8" s="1530" t="s">
        <v>793</v>
      </c>
      <c r="K8" s="1533" t="s">
        <v>794</v>
      </c>
      <c r="L8" s="1533" t="s">
        <v>795</v>
      </c>
      <c r="M8" s="1537" t="s">
        <v>17</v>
      </c>
      <c r="N8" s="1530" t="s">
        <v>793</v>
      </c>
      <c r="O8" s="1533" t="s">
        <v>794</v>
      </c>
      <c r="P8" s="1533" t="s">
        <v>795</v>
      </c>
      <c r="Q8" s="1537" t="s">
        <v>17</v>
      </c>
      <c r="R8" s="1524" t="s">
        <v>793</v>
      </c>
      <c r="S8" s="1533" t="s">
        <v>794</v>
      </c>
      <c r="T8" s="1533" t="s">
        <v>795</v>
      </c>
      <c r="U8" s="1537" t="s">
        <v>17</v>
      </c>
    </row>
    <row r="9" spans="1:131" ht="12.75" customHeight="1">
      <c r="A9" s="1551"/>
      <c r="B9" s="1554"/>
      <c r="C9" s="1554"/>
      <c r="D9" s="1554"/>
      <c r="E9" s="1554"/>
      <c r="F9" s="1554"/>
      <c r="G9" s="1554"/>
      <c r="H9" s="1554"/>
      <c r="I9" s="1528"/>
      <c r="J9" s="1531"/>
      <c r="K9" s="1534"/>
      <c r="L9" s="1534"/>
      <c r="M9" s="1538"/>
      <c r="N9" s="1531"/>
      <c r="O9" s="1534"/>
      <c r="P9" s="1534"/>
      <c r="Q9" s="1538"/>
      <c r="R9" s="1525"/>
      <c r="S9" s="1534"/>
      <c r="T9" s="1534"/>
      <c r="U9" s="1538"/>
    </row>
    <row r="10" spans="1:131" ht="134.25" customHeight="1">
      <c r="A10" s="1551"/>
      <c r="B10" s="1554"/>
      <c r="C10" s="1554"/>
      <c r="D10" s="1556"/>
      <c r="E10" s="1556"/>
      <c r="F10" s="1556"/>
      <c r="G10" s="1556"/>
      <c r="H10" s="1556"/>
      <c r="I10" s="1529"/>
      <c r="J10" s="1532"/>
      <c r="K10" s="1535"/>
      <c r="L10" s="1535"/>
      <c r="M10" s="1539"/>
      <c r="N10" s="1532"/>
      <c r="O10" s="1535"/>
      <c r="P10" s="1535"/>
      <c r="Q10" s="1539"/>
      <c r="R10" s="1526"/>
      <c r="S10" s="1535"/>
      <c r="T10" s="1535"/>
      <c r="U10" s="1539"/>
    </row>
    <row r="11" spans="1:131" s="1149" customFormat="1" ht="44.25" customHeight="1" thickBot="1">
      <c r="A11" s="1552"/>
      <c r="B11" s="1555"/>
      <c r="C11" s="1555"/>
      <c r="D11" s="1139">
        <v>1</v>
      </c>
      <c r="E11" s="1139">
        <v>2</v>
      </c>
      <c r="F11" s="1140">
        <v>3</v>
      </c>
      <c r="G11" s="1140">
        <v>4</v>
      </c>
      <c r="H11" s="1140">
        <v>5</v>
      </c>
      <c r="I11" s="1141" t="s">
        <v>796</v>
      </c>
      <c r="J11" s="1142">
        <v>7</v>
      </c>
      <c r="K11" s="1143">
        <v>8</v>
      </c>
      <c r="L11" s="1144">
        <v>9</v>
      </c>
      <c r="M11" s="1145" t="s">
        <v>797</v>
      </c>
      <c r="N11" s="1142">
        <v>11</v>
      </c>
      <c r="O11" s="1146">
        <v>12</v>
      </c>
      <c r="P11" s="1147">
        <v>13</v>
      </c>
      <c r="Q11" s="1145" t="s">
        <v>798</v>
      </c>
      <c r="R11" s="1143">
        <v>15</v>
      </c>
      <c r="S11" s="1143">
        <v>16</v>
      </c>
      <c r="T11" s="1144">
        <v>17</v>
      </c>
      <c r="U11" s="1145" t="s">
        <v>799</v>
      </c>
      <c r="V11" s="1148"/>
      <c r="W11" s="1148"/>
      <c r="X11" s="1148"/>
      <c r="Y11" s="1148"/>
      <c r="Z11" s="1148"/>
      <c r="AA11" s="1148"/>
      <c r="AB11" s="1148"/>
      <c r="AC11" s="1148"/>
      <c r="AD11" s="1148"/>
      <c r="AE11" s="1148"/>
      <c r="AF11" s="1148"/>
      <c r="AG11" s="1148"/>
      <c r="AH11" s="1148"/>
      <c r="AI11" s="1148"/>
      <c r="AJ11" s="1148"/>
      <c r="AK11" s="1148"/>
      <c r="AL11" s="1148"/>
      <c r="AM11" s="1148"/>
      <c r="AN11" s="1148"/>
      <c r="AO11" s="1148"/>
      <c r="AP11" s="1148"/>
      <c r="AQ11" s="1148"/>
      <c r="AR11" s="1148"/>
      <c r="AS11" s="1148"/>
      <c r="AT11" s="1148"/>
      <c r="AU11" s="1148"/>
      <c r="AV11" s="1148"/>
      <c r="AW11" s="1148"/>
      <c r="AX11" s="1148"/>
      <c r="AY11" s="1148"/>
      <c r="AZ11" s="1148"/>
      <c r="BA11" s="1148"/>
      <c r="BB11" s="1148"/>
      <c r="BC11" s="1148"/>
      <c r="BD11" s="1148"/>
      <c r="BE11" s="1148"/>
      <c r="BF11" s="1148"/>
      <c r="BG11" s="1148"/>
      <c r="BH11" s="1148"/>
      <c r="BI11" s="1148"/>
      <c r="BJ11" s="1148"/>
      <c r="BK11" s="1148"/>
      <c r="BL11" s="1148"/>
      <c r="BM11" s="1148"/>
      <c r="BN11" s="1148"/>
      <c r="BO11" s="1148"/>
      <c r="BP11" s="1148"/>
      <c r="BQ11" s="1148"/>
      <c r="BR11" s="1148"/>
      <c r="BS11" s="1148"/>
      <c r="BT11" s="1148"/>
      <c r="BU11" s="1148"/>
      <c r="BV11" s="1148"/>
      <c r="BW11" s="1148"/>
      <c r="BX11" s="1148"/>
      <c r="BY11" s="1148"/>
      <c r="BZ11" s="1148"/>
      <c r="CA11" s="1148"/>
      <c r="CB11" s="1148"/>
      <c r="CC11" s="1148"/>
      <c r="CD11" s="1148"/>
      <c r="CE11" s="1148"/>
      <c r="CF11" s="1148"/>
      <c r="CG11" s="1148"/>
      <c r="CH11" s="1148"/>
      <c r="CI11" s="1148"/>
      <c r="CJ11" s="1148"/>
      <c r="CK11" s="1148"/>
      <c r="CL11" s="1148"/>
      <c r="CM11" s="1148"/>
      <c r="CN11" s="1148"/>
      <c r="CO11" s="1148"/>
      <c r="CP11" s="1148"/>
      <c r="CQ11" s="1148"/>
      <c r="CR11" s="1148"/>
      <c r="CS11" s="1148"/>
      <c r="CT11" s="1148"/>
      <c r="CU11" s="1148"/>
      <c r="CV11" s="1148"/>
      <c r="CW11" s="1148"/>
      <c r="CX11" s="1148"/>
      <c r="CY11" s="1148"/>
      <c r="CZ11" s="1148"/>
      <c r="DA11" s="1148"/>
      <c r="DB11" s="1148"/>
      <c r="DC11" s="1148"/>
      <c r="DD11" s="1148"/>
      <c r="DE11" s="1148"/>
      <c r="DF11" s="1148"/>
      <c r="DG11" s="1148"/>
      <c r="DH11" s="1148"/>
      <c r="DI11" s="1148"/>
      <c r="DJ11" s="1148"/>
      <c r="DK11" s="1148"/>
      <c r="DL11" s="1148"/>
      <c r="DM11" s="1148"/>
      <c r="DN11" s="1148"/>
      <c r="DO11" s="1148"/>
      <c r="DP11" s="1148"/>
      <c r="DQ11" s="1148"/>
      <c r="DR11" s="1148"/>
      <c r="DS11" s="1148"/>
      <c r="DT11" s="1148"/>
      <c r="DU11" s="1148"/>
      <c r="DV11" s="1148"/>
      <c r="DW11" s="1148"/>
      <c r="DX11" s="1148"/>
      <c r="DY11" s="1148"/>
      <c r="DZ11" s="1148"/>
      <c r="EA11" s="1148"/>
    </row>
    <row r="12" spans="1:131" s="1149" customFormat="1" ht="35.1" customHeight="1">
      <c r="A12" s="1568" t="s">
        <v>823</v>
      </c>
      <c r="B12" s="1220" t="s">
        <v>52</v>
      </c>
      <c r="C12" s="1256"/>
      <c r="D12" s="1221"/>
      <c r="E12" s="1222"/>
      <c r="F12" s="1222"/>
      <c r="G12" s="1223"/>
      <c r="H12" s="1223"/>
      <c r="I12" s="1224"/>
      <c r="J12" s="1221"/>
      <c r="K12" s="1257"/>
      <c r="L12" s="1257"/>
      <c r="M12" s="1258"/>
      <c r="N12" s="1221"/>
      <c r="O12" s="1257"/>
      <c r="P12" s="1257"/>
      <c r="Q12" s="1258"/>
      <c r="R12" s="1221"/>
      <c r="S12" s="1257"/>
      <c r="T12" s="1257"/>
      <c r="U12" s="1258"/>
      <c r="V12" s="1148"/>
      <c r="W12" s="1148"/>
      <c r="X12" s="1148"/>
      <c r="Y12" s="1148"/>
      <c r="Z12" s="1148"/>
      <c r="AA12" s="1148"/>
      <c r="AB12" s="1148"/>
      <c r="AC12" s="1148"/>
      <c r="AD12" s="1148"/>
      <c r="AE12" s="1148"/>
      <c r="AF12" s="1148"/>
      <c r="AG12" s="1148"/>
      <c r="AH12" s="1148"/>
      <c r="AI12" s="1148"/>
      <c r="AJ12" s="1148"/>
      <c r="AK12" s="1148"/>
      <c r="AL12" s="1148"/>
      <c r="AM12" s="1148"/>
      <c r="AN12" s="1148"/>
      <c r="AO12" s="1148"/>
      <c r="AP12" s="1148"/>
      <c r="AQ12" s="1148"/>
      <c r="AR12" s="1148"/>
      <c r="AS12" s="1148"/>
      <c r="AT12" s="1148"/>
      <c r="AU12" s="1148"/>
      <c r="AV12" s="1148"/>
      <c r="AW12" s="1148"/>
      <c r="AX12" s="1148"/>
      <c r="AY12" s="1148"/>
      <c r="AZ12" s="1148"/>
      <c r="BA12" s="1148"/>
      <c r="BB12" s="1148"/>
      <c r="BC12" s="1148"/>
      <c r="BD12" s="1148"/>
      <c r="BE12" s="1148"/>
      <c r="BF12" s="1148"/>
      <c r="BG12" s="1148"/>
      <c r="BH12" s="1148"/>
      <c r="BI12" s="1148"/>
      <c r="BJ12" s="1148"/>
      <c r="BK12" s="1148"/>
      <c r="BL12" s="1148"/>
      <c r="BM12" s="1148"/>
      <c r="BN12" s="1148"/>
      <c r="BO12" s="1148"/>
      <c r="BP12" s="1148"/>
      <c r="BQ12" s="1148"/>
      <c r="BR12" s="1148"/>
      <c r="BS12" s="1148"/>
      <c r="BT12" s="1148"/>
      <c r="BU12" s="1148"/>
      <c r="BV12" s="1148"/>
      <c r="BW12" s="1148"/>
      <c r="BX12" s="1148"/>
      <c r="BY12" s="1148"/>
      <c r="BZ12" s="1148"/>
      <c r="CA12" s="1148"/>
      <c r="CB12" s="1148"/>
      <c r="CC12" s="1148"/>
      <c r="CD12" s="1148"/>
      <c r="CE12" s="1148"/>
      <c r="CF12" s="1148"/>
      <c r="CG12" s="1148"/>
      <c r="CH12" s="1148"/>
      <c r="CI12" s="1148"/>
      <c r="CJ12" s="1148"/>
      <c r="CK12" s="1148"/>
      <c r="CL12" s="1148"/>
      <c r="CM12" s="1148"/>
      <c r="CN12" s="1148"/>
      <c r="CO12" s="1148"/>
      <c r="CP12" s="1148"/>
      <c r="CQ12" s="1148"/>
      <c r="CR12" s="1148"/>
      <c r="CS12" s="1148"/>
      <c r="CT12" s="1148"/>
      <c r="CU12" s="1148"/>
      <c r="CV12" s="1148"/>
      <c r="CW12" s="1148"/>
      <c r="CX12" s="1148"/>
      <c r="CY12" s="1148"/>
      <c r="CZ12" s="1148"/>
      <c r="DA12" s="1148"/>
      <c r="DB12" s="1148"/>
      <c r="DC12" s="1148"/>
      <c r="DD12" s="1148"/>
      <c r="DE12" s="1148"/>
      <c r="DF12" s="1148"/>
      <c r="DG12" s="1148"/>
      <c r="DH12" s="1148"/>
      <c r="DI12" s="1148"/>
      <c r="DJ12" s="1148"/>
      <c r="DK12" s="1148"/>
      <c r="DL12" s="1148"/>
      <c r="DM12" s="1148"/>
      <c r="DN12" s="1148"/>
      <c r="DO12" s="1148"/>
      <c r="DP12" s="1148"/>
      <c r="DQ12" s="1148"/>
      <c r="DR12" s="1148"/>
      <c r="DS12" s="1148"/>
      <c r="DT12" s="1148"/>
      <c r="DU12" s="1148"/>
      <c r="DV12" s="1148"/>
      <c r="DW12" s="1148"/>
      <c r="DX12" s="1148"/>
      <c r="DY12" s="1148"/>
      <c r="DZ12" s="1148"/>
      <c r="EA12" s="1148"/>
    </row>
    <row r="13" spans="1:131" s="1149" customFormat="1" ht="35.1" customHeight="1">
      <c r="A13" s="1569"/>
      <c r="B13" s="1228" t="s">
        <v>800</v>
      </c>
      <c r="C13" s="1259"/>
      <c r="D13" s="1229"/>
      <c r="E13" s="1230"/>
      <c r="F13" s="1230"/>
      <c r="G13" s="1231"/>
      <c r="H13" s="1231"/>
      <c r="I13" s="1232"/>
      <c r="J13" s="1229"/>
      <c r="K13" s="1260"/>
      <c r="L13" s="1260"/>
      <c r="M13" s="1261"/>
      <c r="N13" s="1229"/>
      <c r="O13" s="1260"/>
      <c r="P13" s="1260"/>
      <c r="Q13" s="1261"/>
      <c r="R13" s="1229"/>
      <c r="S13" s="1260"/>
      <c r="T13" s="1260"/>
      <c r="U13" s="1261"/>
      <c r="V13" s="1148"/>
      <c r="W13" s="1148"/>
      <c r="X13" s="1148"/>
      <c r="Y13" s="1148"/>
      <c r="Z13" s="1148"/>
      <c r="AA13" s="1148"/>
      <c r="AB13" s="1148"/>
      <c r="AC13" s="1148"/>
      <c r="AD13" s="1148"/>
      <c r="AE13" s="1148"/>
      <c r="AF13" s="1148"/>
      <c r="AG13" s="1148"/>
      <c r="AH13" s="1148"/>
      <c r="AI13" s="1148"/>
      <c r="AJ13" s="1148"/>
      <c r="AK13" s="1148"/>
      <c r="AL13" s="1148"/>
      <c r="AM13" s="1148"/>
      <c r="AN13" s="1148"/>
      <c r="AO13" s="1148"/>
      <c r="AP13" s="1148"/>
      <c r="AQ13" s="1148"/>
      <c r="AR13" s="1148"/>
      <c r="AS13" s="1148"/>
      <c r="AT13" s="1148"/>
      <c r="AU13" s="1148"/>
      <c r="AV13" s="1148"/>
      <c r="AW13" s="1148"/>
      <c r="AX13" s="1148"/>
      <c r="AY13" s="1148"/>
      <c r="AZ13" s="1148"/>
      <c r="BA13" s="1148"/>
      <c r="BB13" s="1148"/>
      <c r="BC13" s="1148"/>
      <c r="BD13" s="1148"/>
      <c r="BE13" s="1148"/>
      <c r="BF13" s="1148"/>
      <c r="BG13" s="1148"/>
      <c r="BH13" s="1148"/>
      <c r="BI13" s="1148"/>
      <c r="BJ13" s="1148"/>
      <c r="BK13" s="1148"/>
      <c r="BL13" s="1148"/>
      <c r="BM13" s="1148"/>
      <c r="BN13" s="1148"/>
      <c r="BO13" s="1148"/>
      <c r="BP13" s="1148"/>
      <c r="BQ13" s="1148"/>
      <c r="BR13" s="1148"/>
      <c r="BS13" s="1148"/>
      <c r="BT13" s="1148"/>
      <c r="BU13" s="1148"/>
      <c r="BV13" s="1148"/>
      <c r="BW13" s="1148"/>
      <c r="BX13" s="1148"/>
      <c r="BY13" s="1148"/>
      <c r="BZ13" s="1148"/>
      <c r="CA13" s="1148"/>
      <c r="CB13" s="1148"/>
      <c r="CC13" s="1148"/>
      <c r="CD13" s="1148"/>
      <c r="CE13" s="1148"/>
      <c r="CF13" s="1148"/>
      <c r="CG13" s="1148"/>
      <c r="CH13" s="1148"/>
      <c r="CI13" s="1148"/>
      <c r="CJ13" s="1148"/>
      <c r="CK13" s="1148"/>
      <c r="CL13" s="1148"/>
      <c r="CM13" s="1148"/>
      <c r="CN13" s="1148"/>
      <c r="CO13" s="1148"/>
      <c r="CP13" s="1148"/>
      <c r="CQ13" s="1148"/>
      <c r="CR13" s="1148"/>
      <c r="CS13" s="1148"/>
      <c r="CT13" s="1148"/>
      <c r="CU13" s="1148"/>
      <c r="CV13" s="1148"/>
      <c r="CW13" s="1148"/>
      <c r="CX13" s="1148"/>
      <c r="CY13" s="1148"/>
      <c r="CZ13" s="1148"/>
      <c r="DA13" s="1148"/>
      <c r="DB13" s="1148"/>
      <c r="DC13" s="1148"/>
      <c r="DD13" s="1148"/>
      <c r="DE13" s="1148"/>
      <c r="DF13" s="1148"/>
      <c r="DG13" s="1148"/>
      <c r="DH13" s="1148"/>
      <c r="DI13" s="1148"/>
      <c r="DJ13" s="1148"/>
      <c r="DK13" s="1148"/>
      <c r="DL13" s="1148"/>
      <c r="DM13" s="1148"/>
      <c r="DN13" s="1148"/>
      <c r="DO13" s="1148"/>
      <c r="DP13" s="1148"/>
      <c r="DQ13" s="1148"/>
      <c r="DR13" s="1148"/>
      <c r="DS13" s="1148"/>
      <c r="DT13" s="1148"/>
      <c r="DU13" s="1148"/>
      <c r="DV13" s="1148"/>
      <c r="DW13" s="1148"/>
      <c r="DX13" s="1148"/>
      <c r="DY13" s="1148"/>
      <c r="DZ13" s="1148"/>
      <c r="EA13" s="1148"/>
    </row>
    <row r="14" spans="1:131" s="1149" customFormat="1" ht="35.1" customHeight="1">
      <c r="A14" s="1569"/>
      <c r="B14" s="1228" t="s">
        <v>801</v>
      </c>
      <c r="C14" s="1259"/>
      <c r="D14" s="1229"/>
      <c r="E14" s="1229"/>
      <c r="F14" s="1229"/>
      <c r="G14" s="1231"/>
      <c r="H14" s="1260"/>
      <c r="I14" s="1261"/>
      <c r="J14" s="1229"/>
      <c r="K14" s="1260"/>
      <c r="L14" s="1260"/>
      <c r="M14" s="1261"/>
      <c r="N14" s="1229"/>
      <c r="O14" s="1260"/>
      <c r="P14" s="1260"/>
      <c r="Q14" s="1261"/>
      <c r="R14" s="1229"/>
      <c r="S14" s="1260"/>
      <c r="T14" s="1260"/>
      <c r="U14" s="1261"/>
      <c r="V14" s="1148"/>
      <c r="W14" s="1148"/>
      <c r="X14" s="1148"/>
      <c r="Y14" s="1148"/>
      <c r="Z14" s="1148"/>
      <c r="AA14" s="1148"/>
      <c r="AB14" s="1148"/>
      <c r="AC14" s="1148"/>
      <c r="AD14" s="1148"/>
      <c r="AE14" s="1148"/>
      <c r="AF14" s="1148"/>
      <c r="AG14" s="1148"/>
      <c r="AH14" s="1148"/>
      <c r="AI14" s="1148"/>
      <c r="AJ14" s="1148"/>
      <c r="AK14" s="1148"/>
      <c r="AL14" s="1148"/>
      <c r="AM14" s="1148"/>
      <c r="AN14" s="1148"/>
      <c r="AO14" s="1148"/>
      <c r="AP14" s="1148"/>
      <c r="AQ14" s="1148"/>
      <c r="AR14" s="1148"/>
      <c r="AS14" s="1148"/>
      <c r="AT14" s="1148"/>
      <c r="AU14" s="1148"/>
      <c r="AV14" s="1148"/>
      <c r="AW14" s="1148"/>
      <c r="AX14" s="1148"/>
      <c r="AY14" s="1148"/>
      <c r="AZ14" s="1148"/>
      <c r="BA14" s="1148"/>
      <c r="BB14" s="1148"/>
      <c r="BC14" s="1148"/>
      <c r="BD14" s="1148"/>
      <c r="BE14" s="1148"/>
      <c r="BF14" s="1148"/>
      <c r="BG14" s="1148"/>
      <c r="BH14" s="1148"/>
      <c r="BI14" s="1148"/>
      <c r="BJ14" s="1148"/>
      <c r="BK14" s="1148"/>
      <c r="BL14" s="1148"/>
      <c r="BM14" s="1148"/>
      <c r="BN14" s="1148"/>
      <c r="BO14" s="1148"/>
      <c r="BP14" s="1148"/>
      <c r="BQ14" s="1148"/>
      <c r="BR14" s="1148"/>
      <c r="BS14" s="1148"/>
      <c r="BT14" s="1148"/>
      <c r="BU14" s="1148"/>
      <c r="BV14" s="1148"/>
      <c r="BW14" s="1148"/>
      <c r="BX14" s="1148"/>
      <c r="BY14" s="1148"/>
      <c r="BZ14" s="1148"/>
      <c r="CA14" s="1148"/>
      <c r="CB14" s="1148"/>
      <c r="CC14" s="1148"/>
      <c r="CD14" s="1148"/>
      <c r="CE14" s="1148"/>
      <c r="CF14" s="1148"/>
      <c r="CG14" s="1148"/>
      <c r="CH14" s="1148"/>
      <c r="CI14" s="1148"/>
      <c r="CJ14" s="1148"/>
      <c r="CK14" s="1148"/>
      <c r="CL14" s="1148"/>
      <c r="CM14" s="1148"/>
      <c r="CN14" s="1148"/>
      <c r="CO14" s="1148"/>
      <c r="CP14" s="1148"/>
      <c r="CQ14" s="1148"/>
      <c r="CR14" s="1148"/>
      <c r="CS14" s="1148"/>
      <c r="CT14" s="1148"/>
      <c r="CU14" s="1148"/>
      <c r="CV14" s="1148"/>
      <c r="CW14" s="1148"/>
      <c r="CX14" s="1148"/>
      <c r="CY14" s="1148"/>
      <c r="CZ14" s="1148"/>
      <c r="DA14" s="1148"/>
      <c r="DB14" s="1148"/>
      <c r="DC14" s="1148"/>
      <c r="DD14" s="1148"/>
      <c r="DE14" s="1148"/>
      <c r="DF14" s="1148"/>
      <c r="DG14" s="1148"/>
      <c r="DH14" s="1148"/>
      <c r="DI14" s="1148"/>
      <c r="DJ14" s="1148"/>
      <c r="DK14" s="1148"/>
      <c r="DL14" s="1148"/>
      <c r="DM14" s="1148"/>
      <c r="DN14" s="1148"/>
      <c r="DO14" s="1148"/>
      <c r="DP14" s="1148"/>
      <c r="DQ14" s="1148"/>
      <c r="DR14" s="1148"/>
      <c r="DS14" s="1148"/>
      <c r="DT14" s="1148"/>
      <c r="DU14" s="1148"/>
      <c r="DV14" s="1148"/>
      <c r="DW14" s="1148"/>
      <c r="DX14" s="1148"/>
      <c r="DY14" s="1148"/>
      <c r="DZ14" s="1148"/>
      <c r="EA14" s="1148"/>
    </row>
    <row r="15" spans="1:131" s="1149" customFormat="1" ht="35.1" customHeight="1" thickBot="1">
      <c r="A15" s="1576"/>
      <c r="B15" s="1262" t="s">
        <v>802</v>
      </c>
      <c r="C15" s="1263"/>
      <c r="D15" s="1229"/>
      <c r="E15" s="1230"/>
      <c r="F15" s="1230"/>
      <c r="G15" s="1231"/>
      <c r="H15" s="1231"/>
      <c r="I15" s="1232"/>
      <c r="J15" s="1229"/>
      <c r="K15" s="1260"/>
      <c r="L15" s="1260"/>
      <c r="M15" s="1261"/>
      <c r="N15" s="1229"/>
      <c r="O15" s="1260"/>
      <c r="P15" s="1260"/>
      <c r="Q15" s="1261"/>
      <c r="R15" s="1229"/>
      <c r="S15" s="1260"/>
      <c r="T15" s="1260"/>
      <c r="U15" s="1261"/>
      <c r="V15" s="1150"/>
      <c r="W15" s="1150"/>
      <c r="X15" s="1148"/>
      <c r="Y15" s="1148"/>
      <c r="Z15" s="1148"/>
      <c r="AA15" s="1148"/>
      <c r="AB15" s="1148"/>
      <c r="AC15" s="1148"/>
      <c r="AD15" s="1148"/>
      <c r="AE15" s="1148"/>
      <c r="AF15" s="1148"/>
      <c r="AG15" s="1148"/>
      <c r="AH15" s="1148"/>
      <c r="AI15" s="1148"/>
      <c r="AJ15" s="1148"/>
      <c r="AK15" s="1148"/>
      <c r="AL15" s="1148"/>
      <c r="AM15" s="1148"/>
      <c r="AN15" s="1148"/>
      <c r="AO15" s="1148"/>
      <c r="AP15" s="1148"/>
      <c r="AQ15" s="1148"/>
      <c r="AR15" s="1148"/>
      <c r="AS15" s="1148"/>
      <c r="AT15" s="1148"/>
      <c r="AU15" s="1148"/>
      <c r="AV15" s="1148"/>
      <c r="AW15" s="1148"/>
      <c r="AX15" s="1148"/>
      <c r="AY15" s="1148"/>
      <c r="AZ15" s="1148"/>
      <c r="BA15" s="1148"/>
      <c r="BB15" s="1148"/>
      <c r="BC15" s="1148"/>
      <c r="BD15" s="1148"/>
      <c r="BE15" s="1148"/>
      <c r="BF15" s="1148"/>
      <c r="BG15" s="1148"/>
      <c r="BH15" s="1148"/>
      <c r="BI15" s="1148"/>
      <c r="BJ15" s="1148"/>
      <c r="BK15" s="1148"/>
      <c r="BL15" s="1148"/>
      <c r="BM15" s="1148"/>
      <c r="BN15" s="1148"/>
      <c r="BO15" s="1148"/>
      <c r="BP15" s="1148"/>
      <c r="BQ15" s="1148"/>
      <c r="BR15" s="1148"/>
      <c r="BS15" s="1148"/>
      <c r="BT15" s="1148"/>
      <c r="BU15" s="1148"/>
      <c r="BV15" s="1148"/>
      <c r="BW15" s="1148"/>
      <c r="BX15" s="1148"/>
      <c r="BY15" s="1148"/>
      <c r="BZ15" s="1148"/>
      <c r="CA15" s="1148"/>
      <c r="CB15" s="1148"/>
      <c r="CC15" s="1148"/>
      <c r="CD15" s="1148"/>
      <c r="CE15" s="1148"/>
      <c r="CF15" s="1148"/>
      <c r="CG15" s="1148"/>
      <c r="CH15" s="1148"/>
      <c r="CI15" s="1148"/>
      <c r="CJ15" s="1148"/>
      <c r="CK15" s="1148"/>
      <c r="CL15" s="1148"/>
      <c r="CM15" s="1148"/>
      <c r="CN15" s="1148"/>
      <c r="CO15" s="1148"/>
      <c r="CP15" s="1148"/>
      <c r="CQ15" s="1148"/>
      <c r="CR15" s="1148"/>
      <c r="CS15" s="1148"/>
      <c r="CT15" s="1148"/>
      <c r="CU15" s="1148"/>
      <c r="CV15" s="1148"/>
      <c r="CW15" s="1148"/>
      <c r="CX15" s="1148"/>
      <c r="CY15" s="1148"/>
      <c r="CZ15" s="1148"/>
      <c r="DA15" s="1148"/>
      <c r="DB15" s="1148"/>
      <c r="DC15" s="1148"/>
      <c r="DD15" s="1148"/>
      <c r="DE15" s="1148"/>
      <c r="DF15" s="1148"/>
      <c r="DG15" s="1148"/>
      <c r="DH15" s="1148"/>
      <c r="DI15" s="1148"/>
      <c r="DJ15" s="1148"/>
      <c r="DK15" s="1148"/>
      <c r="DL15" s="1148"/>
      <c r="DM15" s="1148"/>
      <c r="DN15" s="1148"/>
      <c r="DO15" s="1148"/>
      <c r="DP15" s="1148"/>
      <c r="DQ15" s="1148"/>
      <c r="DR15" s="1148"/>
      <c r="DS15" s="1148"/>
      <c r="DT15" s="1148"/>
      <c r="DU15" s="1148"/>
      <c r="DV15" s="1148"/>
      <c r="DW15" s="1148"/>
      <c r="DX15" s="1148"/>
      <c r="DY15" s="1148"/>
      <c r="DZ15" s="1148"/>
      <c r="EA15" s="1148"/>
    </row>
    <row r="16" spans="1:131" s="1149" customFormat="1" ht="35.1" customHeight="1">
      <c r="A16" s="1569" t="s">
        <v>824</v>
      </c>
      <c r="B16" s="1264" t="s">
        <v>52</v>
      </c>
      <c r="C16" s="1594">
        <v>36</v>
      </c>
      <c r="D16" s="1221"/>
      <c r="E16" s="1222">
        <v>0</v>
      </c>
      <c r="F16" s="1222">
        <v>0</v>
      </c>
      <c r="G16" s="1223">
        <v>0</v>
      </c>
      <c r="H16" s="1223">
        <v>0</v>
      </c>
      <c r="I16" s="1224">
        <f>F16+G16+H16</f>
        <v>0</v>
      </c>
      <c r="J16" s="1225">
        <v>0</v>
      </c>
      <c r="K16" s="1226">
        <v>0</v>
      </c>
      <c r="L16" s="1226">
        <v>0</v>
      </c>
      <c r="M16" s="1227">
        <f>J16+K16+L16</f>
        <v>0</v>
      </c>
      <c r="N16" s="1225">
        <v>0</v>
      </c>
      <c r="O16" s="1226">
        <v>0</v>
      </c>
      <c r="P16" s="1226">
        <v>0</v>
      </c>
      <c r="Q16" s="1227">
        <f>N16+O16+P16</f>
        <v>0</v>
      </c>
      <c r="R16" s="1225">
        <f>J16+N16</f>
        <v>0</v>
      </c>
      <c r="S16" s="1226">
        <f t="shared" ref="S16:U19" si="0">K16+O16</f>
        <v>0</v>
      </c>
      <c r="T16" s="1226">
        <f t="shared" si="0"/>
        <v>0</v>
      </c>
      <c r="U16" s="1227">
        <f t="shared" si="0"/>
        <v>0</v>
      </c>
      <c r="V16" s="1148"/>
      <c r="W16" s="1150"/>
      <c r="X16" s="1148"/>
      <c r="Y16" s="1148"/>
      <c r="Z16" s="1148"/>
      <c r="AA16" s="1148"/>
      <c r="AB16" s="1148"/>
      <c r="AC16" s="1148"/>
      <c r="AD16" s="1148"/>
      <c r="AE16" s="1148"/>
      <c r="AF16" s="1148"/>
      <c r="AG16" s="1148"/>
      <c r="AH16" s="1148"/>
      <c r="AI16" s="1148"/>
      <c r="AJ16" s="1148"/>
      <c r="AK16" s="1148"/>
      <c r="AL16" s="1148"/>
      <c r="AM16" s="1148"/>
      <c r="AN16" s="1148"/>
      <c r="AO16" s="1148"/>
      <c r="AP16" s="1148"/>
      <c r="AQ16" s="1148"/>
      <c r="AR16" s="1148"/>
      <c r="AS16" s="1148"/>
      <c r="AT16" s="1148"/>
      <c r="AU16" s="1148"/>
      <c r="AV16" s="1148"/>
      <c r="AW16" s="1148"/>
      <c r="AX16" s="1148"/>
      <c r="AY16" s="1148"/>
      <c r="AZ16" s="1148"/>
      <c r="BA16" s="1148"/>
      <c r="BB16" s="1148"/>
      <c r="BC16" s="1148"/>
      <c r="BD16" s="1148"/>
      <c r="BE16" s="1148"/>
      <c r="BF16" s="1148"/>
      <c r="BG16" s="1148"/>
      <c r="BH16" s="1148"/>
      <c r="BI16" s="1148"/>
      <c r="BJ16" s="1148"/>
      <c r="BK16" s="1148"/>
      <c r="BL16" s="1148"/>
      <c r="BM16" s="1148"/>
      <c r="BN16" s="1148"/>
      <c r="BO16" s="1148"/>
      <c r="BP16" s="1148"/>
      <c r="BQ16" s="1148"/>
      <c r="BR16" s="1148"/>
      <c r="BS16" s="1148"/>
      <c r="BT16" s="1148"/>
      <c r="BU16" s="1148"/>
      <c r="BV16" s="1148"/>
      <c r="BW16" s="1148"/>
      <c r="BX16" s="1148"/>
      <c r="BY16" s="1148"/>
      <c r="BZ16" s="1148"/>
      <c r="CA16" s="1148"/>
      <c r="CB16" s="1148"/>
      <c r="CC16" s="1148"/>
      <c r="CD16" s="1148"/>
      <c r="CE16" s="1148"/>
      <c r="CF16" s="1148"/>
      <c r="CG16" s="1148"/>
      <c r="CH16" s="1148"/>
      <c r="CI16" s="1148"/>
      <c r="CJ16" s="1148"/>
      <c r="CK16" s="1148"/>
      <c r="CL16" s="1148"/>
      <c r="CM16" s="1148"/>
      <c r="CN16" s="1148"/>
      <c r="CO16" s="1148"/>
      <c r="CP16" s="1148"/>
      <c r="CQ16" s="1148"/>
      <c r="CR16" s="1148"/>
      <c r="CS16" s="1148"/>
      <c r="CT16" s="1148"/>
      <c r="CU16" s="1148"/>
      <c r="CV16" s="1148"/>
      <c r="CW16" s="1148"/>
      <c r="CX16" s="1148"/>
      <c r="CY16" s="1148"/>
      <c r="CZ16" s="1148"/>
      <c r="DA16" s="1148"/>
      <c r="DB16" s="1148"/>
      <c r="DC16" s="1148"/>
      <c r="DD16" s="1148"/>
      <c r="DE16" s="1148"/>
      <c r="DF16" s="1148"/>
      <c r="DG16" s="1148"/>
      <c r="DH16" s="1148"/>
      <c r="DI16" s="1148"/>
      <c r="DJ16" s="1148"/>
      <c r="DK16" s="1148"/>
      <c r="DL16" s="1148"/>
      <c r="DM16" s="1148"/>
      <c r="DN16" s="1148"/>
      <c r="DO16" s="1148"/>
      <c r="DP16" s="1148"/>
      <c r="DQ16" s="1148"/>
      <c r="DR16" s="1148"/>
      <c r="DS16" s="1148"/>
      <c r="DT16" s="1148"/>
      <c r="DU16" s="1148"/>
      <c r="DV16" s="1148"/>
      <c r="DW16" s="1148"/>
      <c r="DX16" s="1148"/>
      <c r="DY16" s="1148"/>
      <c r="DZ16" s="1148"/>
      <c r="EA16" s="1148"/>
    </row>
    <row r="17" spans="1:131" s="1149" customFormat="1" ht="35.1" customHeight="1">
      <c r="A17" s="1569"/>
      <c r="B17" s="1228" t="s">
        <v>800</v>
      </c>
      <c r="C17" s="1572"/>
      <c r="D17" s="1229"/>
      <c r="E17" s="1230">
        <v>0</v>
      </c>
      <c r="F17" s="1230">
        <v>0</v>
      </c>
      <c r="G17" s="1231">
        <v>0</v>
      </c>
      <c r="H17" s="1231">
        <v>0</v>
      </c>
      <c r="I17" s="1232">
        <f t="shared" ref="I17:I19" si="1">F17+G17+H17</f>
        <v>0</v>
      </c>
      <c r="J17" s="1233">
        <v>0</v>
      </c>
      <c r="K17" s="1234">
        <v>0</v>
      </c>
      <c r="L17" s="1234">
        <v>0</v>
      </c>
      <c r="M17" s="1235">
        <f t="shared" ref="M17:M19" si="2">J17+K17+L17</f>
        <v>0</v>
      </c>
      <c r="N17" s="1233">
        <v>0</v>
      </c>
      <c r="O17" s="1234">
        <v>0</v>
      </c>
      <c r="P17" s="1234">
        <v>0</v>
      </c>
      <c r="Q17" s="1235">
        <f t="shared" ref="Q17:Q19" si="3">N17+O17+P17</f>
        <v>0</v>
      </c>
      <c r="R17" s="1233">
        <f t="shared" ref="R17:R19" si="4">J17+N17</f>
        <v>0</v>
      </c>
      <c r="S17" s="1234">
        <f t="shared" si="0"/>
        <v>0</v>
      </c>
      <c r="T17" s="1234">
        <f t="shared" si="0"/>
        <v>0</v>
      </c>
      <c r="U17" s="1235">
        <f t="shared" si="0"/>
        <v>0</v>
      </c>
      <c r="V17" s="1148"/>
      <c r="W17" s="1150"/>
      <c r="X17" s="1148"/>
      <c r="Y17" s="1148"/>
      <c r="Z17" s="1148"/>
      <c r="AA17" s="1148"/>
      <c r="AB17" s="1148"/>
      <c r="AC17" s="1148"/>
      <c r="AD17" s="1148"/>
      <c r="AE17" s="1148"/>
      <c r="AF17" s="1148"/>
      <c r="AG17" s="1148"/>
      <c r="AH17" s="1148"/>
      <c r="AI17" s="1148"/>
      <c r="AJ17" s="1148"/>
      <c r="AK17" s="1148"/>
      <c r="AL17" s="1148"/>
      <c r="AM17" s="1148"/>
      <c r="AN17" s="1148"/>
      <c r="AO17" s="1148"/>
      <c r="AP17" s="1148"/>
      <c r="AQ17" s="1148"/>
      <c r="AR17" s="1148"/>
      <c r="AS17" s="1148"/>
      <c r="AT17" s="1148"/>
      <c r="AU17" s="1148"/>
      <c r="AV17" s="1148"/>
      <c r="AW17" s="1148"/>
      <c r="AX17" s="1148"/>
      <c r="AY17" s="1148"/>
      <c r="AZ17" s="1148"/>
      <c r="BA17" s="1148"/>
      <c r="BB17" s="1148"/>
      <c r="BC17" s="1148"/>
      <c r="BD17" s="1148"/>
      <c r="BE17" s="1148"/>
      <c r="BF17" s="1148"/>
      <c r="BG17" s="1148"/>
      <c r="BH17" s="1148"/>
      <c r="BI17" s="1148"/>
      <c r="BJ17" s="1148"/>
      <c r="BK17" s="1148"/>
      <c r="BL17" s="1148"/>
      <c r="BM17" s="1148"/>
      <c r="BN17" s="1148"/>
      <c r="BO17" s="1148"/>
      <c r="BP17" s="1148"/>
      <c r="BQ17" s="1148"/>
      <c r="BR17" s="1148"/>
      <c r="BS17" s="1148"/>
      <c r="BT17" s="1148"/>
      <c r="BU17" s="1148"/>
      <c r="BV17" s="1148"/>
      <c r="BW17" s="1148"/>
      <c r="BX17" s="1148"/>
      <c r="BY17" s="1148"/>
      <c r="BZ17" s="1148"/>
      <c r="CA17" s="1148"/>
      <c r="CB17" s="1148"/>
      <c r="CC17" s="1148"/>
      <c r="CD17" s="1148"/>
      <c r="CE17" s="1148"/>
      <c r="CF17" s="1148"/>
      <c r="CG17" s="1148"/>
      <c r="CH17" s="1148"/>
      <c r="CI17" s="1148"/>
      <c r="CJ17" s="1148"/>
      <c r="CK17" s="1148"/>
      <c r="CL17" s="1148"/>
      <c r="CM17" s="1148"/>
      <c r="CN17" s="1148"/>
      <c r="CO17" s="1148"/>
      <c r="CP17" s="1148"/>
      <c r="CQ17" s="1148"/>
      <c r="CR17" s="1148"/>
      <c r="CS17" s="1148"/>
      <c r="CT17" s="1148"/>
      <c r="CU17" s="1148"/>
      <c r="CV17" s="1148"/>
      <c r="CW17" s="1148"/>
      <c r="CX17" s="1148"/>
      <c r="CY17" s="1148"/>
      <c r="CZ17" s="1148"/>
      <c r="DA17" s="1148"/>
      <c r="DB17" s="1148"/>
      <c r="DC17" s="1148"/>
      <c r="DD17" s="1148"/>
      <c r="DE17" s="1148"/>
      <c r="DF17" s="1148"/>
      <c r="DG17" s="1148"/>
      <c r="DH17" s="1148"/>
      <c r="DI17" s="1148"/>
      <c r="DJ17" s="1148"/>
      <c r="DK17" s="1148"/>
      <c r="DL17" s="1148"/>
      <c r="DM17" s="1148"/>
      <c r="DN17" s="1148"/>
      <c r="DO17" s="1148"/>
      <c r="DP17" s="1148"/>
      <c r="DQ17" s="1148"/>
      <c r="DR17" s="1148"/>
      <c r="DS17" s="1148"/>
      <c r="DT17" s="1148"/>
      <c r="DU17" s="1148"/>
      <c r="DV17" s="1148"/>
      <c r="DW17" s="1148"/>
      <c r="DX17" s="1148"/>
      <c r="DY17" s="1148"/>
      <c r="DZ17" s="1148"/>
      <c r="EA17" s="1148"/>
    </row>
    <row r="18" spans="1:131" s="1149" customFormat="1" ht="35.1" customHeight="1">
      <c r="A18" s="1569"/>
      <c r="B18" s="1228" t="s">
        <v>801</v>
      </c>
      <c r="C18" s="1572"/>
      <c r="D18" s="1229"/>
      <c r="E18" s="1230">
        <v>0</v>
      </c>
      <c r="F18" s="1230">
        <v>0</v>
      </c>
      <c r="G18" s="1231">
        <v>0</v>
      </c>
      <c r="H18" s="1231">
        <v>0</v>
      </c>
      <c r="I18" s="1232">
        <f t="shared" si="1"/>
        <v>0</v>
      </c>
      <c r="J18" s="1233">
        <v>0</v>
      </c>
      <c r="K18" s="1234">
        <v>0</v>
      </c>
      <c r="L18" s="1234">
        <v>16390.5</v>
      </c>
      <c r="M18" s="1235">
        <f t="shared" si="2"/>
        <v>16390.5</v>
      </c>
      <c r="N18" s="1233">
        <v>0</v>
      </c>
      <c r="O18" s="1234">
        <v>0</v>
      </c>
      <c r="P18" s="1234">
        <v>92879.5</v>
      </c>
      <c r="Q18" s="1235">
        <f t="shared" si="3"/>
        <v>92879.5</v>
      </c>
      <c r="R18" s="1233">
        <f t="shared" si="4"/>
        <v>0</v>
      </c>
      <c r="S18" s="1234">
        <f t="shared" si="0"/>
        <v>0</v>
      </c>
      <c r="T18" s="1234">
        <f t="shared" si="0"/>
        <v>109270</v>
      </c>
      <c r="U18" s="1235">
        <f t="shared" si="0"/>
        <v>109270</v>
      </c>
      <c r="V18" s="1148"/>
      <c r="W18" s="1150"/>
      <c r="X18" s="1148"/>
      <c r="Y18" s="1148"/>
      <c r="Z18" s="1148"/>
      <c r="AA18" s="1148"/>
      <c r="AB18" s="1148"/>
      <c r="AC18" s="1148"/>
      <c r="AD18" s="1148"/>
      <c r="AE18" s="1148"/>
      <c r="AF18" s="1148"/>
      <c r="AG18" s="1148"/>
      <c r="AH18" s="1148"/>
      <c r="AI18" s="1148"/>
      <c r="AJ18" s="1148"/>
      <c r="AK18" s="1148"/>
      <c r="AL18" s="1148"/>
      <c r="AM18" s="1148"/>
      <c r="AN18" s="1148"/>
      <c r="AO18" s="1148"/>
      <c r="AP18" s="1148"/>
      <c r="AQ18" s="1148"/>
      <c r="AR18" s="1148"/>
      <c r="AS18" s="1148"/>
      <c r="AT18" s="1148"/>
      <c r="AU18" s="1148"/>
      <c r="AV18" s="1148"/>
      <c r="AW18" s="1148"/>
      <c r="AX18" s="1148"/>
      <c r="AY18" s="1148"/>
      <c r="AZ18" s="1148"/>
      <c r="BA18" s="1148"/>
      <c r="BB18" s="1148"/>
      <c r="BC18" s="1148"/>
      <c r="BD18" s="1148"/>
      <c r="BE18" s="1148"/>
      <c r="BF18" s="1148"/>
      <c r="BG18" s="1148"/>
      <c r="BH18" s="1148"/>
      <c r="BI18" s="1148"/>
      <c r="BJ18" s="1148"/>
      <c r="BK18" s="1148"/>
      <c r="BL18" s="1148"/>
      <c r="BM18" s="1148"/>
      <c r="BN18" s="1148"/>
      <c r="BO18" s="1148"/>
      <c r="BP18" s="1148"/>
      <c r="BQ18" s="1148"/>
      <c r="BR18" s="1148"/>
      <c r="BS18" s="1148"/>
      <c r="BT18" s="1148"/>
      <c r="BU18" s="1148"/>
      <c r="BV18" s="1148"/>
      <c r="BW18" s="1148"/>
      <c r="BX18" s="1148"/>
      <c r="BY18" s="1148"/>
      <c r="BZ18" s="1148"/>
      <c r="CA18" s="1148"/>
      <c r="CB18" s="1148"/>
      <c r="CC18" s="1148"/>
      <c r="CD18" s="1148"/>
      <c r="CE18" s="1148"/>
      <c r="CF18" s="1148"/>
      <c r="CG18" s="1148"/>
      <c r="CH18" s="1148"/>
      <c r="CI18" s="1148"/>
      <c r="CJ18" s="1148"/>
      <c r="CK18" s="1148"/>
      <c r="CL18" s="1148"/>
      <c r="CM18" s="1148"/>
      <c r="CN18" s="1148"/>
      <c r="CO18" s="1148"/>
      <c r="CP18" s="1148"/>
      <c r="CQ18" s="1148"/>
      <c r="CR18" s="1148"/>
      <c r="CS18" s="1148"/>
      <c r="CT18" s="1148"/>
      <c r="CU18" s="1148"/>
      <c r="CV18" s="1148"/>
      <c r="CW18" s="1148"/>
      <c r="CX18" s="1148"/>
      <c r="CY18" s="1148"/>
      <c r="CZ18" s="1148"/>
      <c r="DA18" s="1148"/>
      <c r="DB18" s="1148"/>
      <c r="DC18" s="1148"/>
      <c r="DD18" s="1148"/>
      <c r="DE18" s="1148"/>
      <c r="DF18" s="1148"/>
      <c r="DG18" s="1148"/>
      <c r="DH18" s="1148"/>
      <c r="DI18" s="1148"/>
      <c r="DJ18" s="1148"/>
      <c r="DK18" s="1148"/>
      <c r="DL18" s="1148"/>
      <c r="DM18" s="1148"/>
      <c r="DN18" s="1148"/>
      <c r="DO18" s="1148"/>
      <c r="DP18" s="1148"/>
      <c r="DQ18" s="1148"/>
      <c r="DR18" s="1148"/>
      <c r="DS18" s="1148"/>
      <c r="DT18" s="1148"/>
      <c r="DU18" s="1148"/>
      <c r="DV18" s="1148"/>
      <c r="DW18" s="1148"/>
      <c r="DX18" s="1148"/>
      <c r="DY18" s="1148"/>
      <c r="DZ18" s="1148"/>
      <c r="EA18" s="1148"/>
    </row>
    <row r="19" spans="1:131" s="1149" customFormat="1" ht="35.1" customHeight="1">
      <c r="A19" s="1593"/>
      <c r="B19" s="1228" t="s">
        <v>802</v>
      </c>
      <c r="C19" s="1595"/>
      <c r="D19" s="1229"/>
      <c r="E19" s="1230">
        <v>0</v>
      </c>
      <c r="F19" s="1230">
        <f>F16+F17+F18</f>
        <v>0</v>
      </c>
      <c r="G19" s="1231">
        <f t="shared" ref="G19:H19" si="5">G16+G17+G18</f>
        <v>0</v>
      </c>
      <c r="H19" s="1231">
        <f t="shared" si="5"/>
        <v>0</v>
      </c>
      <c r="I19" s="1232">
        <f t="shared" si="1"/>
        <v>0</v>
      </c>
      <c r="J19" s="1233">
        <f>J16+J17+J18</f>
        <v>0</v>
      </c>
      <c r="K19" s="1234">
        <f t="shared" ref="K19:L19" si="6">K16+K17+K18</f>
        <v>0</v>
      </c>
      <c r="L19" s="1234">
        <f t="shared" si="6"/>
        <v>16390.5</v>
      </c>
      <c r="M19" s="1235">
        <f t="shared" si="2"/>
        <v>16390.5</v>
      </c>
      <c r="N19" s="1233">
        <f>N16+N17+N18</f>
        <v>0</v>
      </c>
      <c r="O19" s="1234">
        <f t="shared" ref="O19:P19" si="7">O16+O17+O18</f>
        <v>0</v>
      </c>
      <c r="P19" s="1234">
        <f t="shared" si="7"/>
        <v>92879.5</v>
      </c>
      <c r="Q19" s="1235">
        <f t="shared" si="3"/>
        <v>92879.5</v>
      </c>
      <c r="R19" s="1233">
        <f t="shared" si="4"/>
        <v>0</v>
      </c>
      <c r="S19" s="1234">
        <f t="shared" si="0"/>
        <v>0</v>
      </c>
      <c r="T19" s="1234">
        <f t="shared" si="0"/>
        <v>109270</v>
      </c>
      <c r="U19" s="1235">
        <f t="shared" si="0"/>
        <v>109270</v>
      </c>
      <c r="V19" s="1150"/>
      <c r="W19" s="1150"/>
      <c r="X19" s="1148"/>
      <c r="Y19" s="1148"/>
      <c r="Z19" s="1148"/>
      <c r="AA19" s="1148"/>
      <c r="AB19" s="1148"/>
      <c r="AC19" s="1148"/>
      <c r="AD19" s="1148"/>
      <c r="AE19" s="1148"/>
      <c r="AF19" s="1148"/>
      <c r="AG19" s="1148"/>
      <c r="AH19" s="1148"/>
      <c r="AI19" s="1148"/>
      <c r="AJ19" s="1148"/>
      <c r="AK19" s="1148"/>
      <c r="AL19" s="1148"/>
      <c r="AM19" s="1148"/>
      <c r="AN19" s="1148"/>
      <c r="AO19" s="1148"/>
      <c r="AP19" s="1148"/>
      <c r="AQ19" s="1148"/>
      <c r="AR19" s="1148"/>
      <c r="AS19" s="1148"/>
      <c r="AT19" s="1148"/>
      <c r="AU19" s="1148"/>
      <c r="AV19" s="1148"/>
      <c r="AW19" s="1148"/>
      <c r="AX19" s="1148"/>
      <c r="AY19" s="1148"/>
      <c r="AZ19" s="1148"/>
      <c r="BA19" s="1148"/>
      <c r="BB19" s="1148"/>
      <c r="BC19" s="1148"/>
      <c r="BD19" s="1148"/>
      <c r="BE19" s="1148"/>
      <c r="BF19" s="1148"/>
      <c r="BG19" s="1148"/>
      <c r="BH19" s="1148"/>
      <c r="BI19" s="1148"/>
      <c r="BJ19" s="1148"/>
      <c r="BK19" s="1148"/>
      <c r="BL19" s="1148"/>
      <c r="BM19" s="1148"/>
      <c r="BN19" s="1148"/>
      <c r="BO19" s="1148"/>
      <c r="BP19" s="1148"/>
      <c r="BQ19" s="1148"/>
      <c r="BR19" s="1148"/>
      <c r="BS19" s="1148"/>
      <c r="BT19" s="1148"/>
      <c r="BU19" s="1148"/>
      <c r="BV19" s="1148"/>
      <c r="BW19" s="1148"/>
      <c r="BX19" s="1148"/>
      <c r="BY19" s="1148"/>
      <c r="BZ19" s="1148"/>
      <c r="CA19" s="1148"/>
      <c r="CB19" s="1148"/>
      <c r="CC19" s="1148"/>
      <c r="CD19" s="1148"/>
      <c r="CE19" s="1148"/>
      <c r="CF19" s="1148"/>
      <c r="CG19" s="1148"/>
      <c r="CH19" s="1148"/>
      <c r="CI19" s="1148"/>
      <c r="CJ19" s="1148"/>
      <c r="CK19" s="1148"/>
      <c r="CL19" s="1148"/>
      <c r="CM19" s="1148"/>
      <c r="CN19" s="1148"/>
      <c r="CO19" s="1148"/>
      <c r="CP19" s="1148"/>
      <c r="CQ19" s="1148"/>
      <c r="CR19" s="1148"/>
      <c r="CS19" s="1148"/>
      <c r="CT19" s="1148"/>
      <c r="CU19" s="1148"/>
      <c r="CV19" s="1148"/>
      <c r="CW19" s="1148"/>
      <c r="CX19" s="1148"/>
      <c r="CY19" s="1148"/>
      <c r="CZ19" s="1148"/>
      <c r="DA19" s="1148"/>
      <c r="DB19" s="1148"/>
      <c r="DC19" s="1148"/>
      <c r="DD19" s="1148"/>
      <c r="DE19" s="1148"/>
      <c r="DF19" s="1148"/>
      <c r="DG19" s="1148"/>
      <c r="DH19" s="1148"/>
      <c r="DI19" s="1148"/>
      <c r="DJ19" s="1148"/>
      <c r="DK19" s="1148"/>
      <c r="DL19" s="1148"/>
      <c r="DM19" s="1148"/>
      <c r="DN19" s="1148"/>
      <c r="DO19" s="1148"/>
      <c r="DP19" s="1148"/>
      <c r="DQ19" s="1148"/>
      <c r="DR19" s="1148"/>
      <c r="DS19" s="1148"/>
      <c r="DT19" s="1148"/>
      <c r="DU19" s="1148"/>
      <c r="DV19" s="1148"/>
      <c r="DW19" s="1148"/>
      <c r="DX19" s="1148"/>
      <c r="DY19" s="1148"/>
      <c r="DZ19" s="1148"/>
      <c r="EA19" s="1148"/>
    </row>
    <row r="20" spans="1:131" s="1149" customFormat="1" ht="35.1" customHeight="1">
      <c r="A20" s="1592" t="s">
        <v>803</v>
      </c>
      <c r="B20" s="1265" t="s">
        <v>52</v>
      </c>
      <c r="C20" s="1266"/>
      <c r="D20" s="1267"/>
      <c r="E20" s="1268">
        <v>0</v>
      </c>
      <c r="F20" s="1268">
        <f>F16</f>
        <v>0</v>
      </c>
      <c r="G20" s="1269">
        <f t="shared" ref="G20:I20" si="8">G16</f>
        <v>0</v>
      </c>
      <c r="H20" s="1269">
        <f t="shared" si="8"/>
        <v>0</v>
      </c>
      <c r="I20" s="1270">
        <f t="shared" si="8"/>
        <v>0</v>
      </c>
      <c r="J20" s="1271">
        <f>J16</f>
        <v>0</v>
      </c>
      <c r="K20" s="1272">
        <f t="shared" ref="K20:U23" si="9">K16</f>
        <v>0</v>
      </c>
      <c r="L20" s="1272">
        <f t="shared" si="9"/>
        <v>0</v>
      </c>
      <c r="M20" s="1273">
        <f t="shared" si="9"/>
        <v>0</v>
      </c>
      <c r="N20" s="1271">
        <f t="shared" si="9"/>
        <v>0</v>
      </c>
      <c r="O20" s="1272">
        <f t="shared" si="9"/>
        <v>0</v>
      </c>
      <c r="P20" s="1272">
        <f t="shared" si="9"/>
        <v>0</v>
      </c>
      <c r="Q20" s="1273">
        <f t="shared" si="9"/>
        <v>0</v>
      </c>
      <c r="R20" s="1271">
        <f t="shared" si="9"/>
        <v>0</v>
      </c>
      <c r="S20" s="1272">
        <f t="shared" si="9"/>
        <v>0</v>
      </c>
      <c r="T20" s="1272">
        <f t="shared" si="9"/>
        <v>0</v>
      </c>
      <c r="U20" s="1273">
        <f t="shared" si="9"/>
        <v>0</v>
      </c>
      <c r="V20" s="1148"/>
      <c r="W20" s="1148"/>
      <c r="X20" s="1148"/>
      <c r="Y20" s="1148"/>
      <c r="Z20" s="1148"/>
      <c r="AA20" s="1148"/>
      <c r="AB20" s="1148"/>
      <c r="AC20" s="1148"/>
      <c r="AD20" s="1148"/>
      <c r="AE20" s="1148"/>
      <c r="AF20" s="1148"/>
      <c r="AG20" s="1148"/>
      <c r="AH20" s="1148"/>
      <c r="AI20" s="1148"/>
      <c r="AJ20" s="1148"/>
      <c r="AK20" s="1148"/>
      <c r="AL20" s="1148"/>
      <c r="AM20" s="1148"/>
      <c r="AN20" s="1148"/>
      <c r="AO20" s="1148"/>
      <c r="AP20" s="1148"/>
      <c r="AQ20" s="1148"/>
      <c r="AR20" s="1148"/>
      <c r="AS20" s="1148"/>
      <c r="AT20" s="1148"/>
      <c r="AU20" s="1148"/>
      <c r="AV20" s="1148"/>
      <c r="AW20" s="1148"/>
      <c r="AX20" s="1148"/>
      <c r="AY20" s="1148"/>
      <c r="AZ20" s="1148"/>
      <c r="BA20" s="1148"/>
      <c r="BB20" s="1148"/>
      <c r="BC20" s="1148"/>
      <c r="BD20" s="1148"/>
      <c r="BE20" s="1148"/>
      <c r="BF20" s="1148"/>
      <c r="BG20" s="1148"/>
      <c r="BH20" s="1148"/>
      <c r="BI20" s="1148"/>
      <c r="BJ20" s="1148"/>
      <c r="BK20" s="1148"/>
      <c r="BL20" s="1148"/>
      <c r="BM20" s="1148"/>
      <c r="BN20" s="1148"/>
      <c r="BO20" s="1148"/>
      <c r="BP20" s="1148"/>
      <c r="BQ20" s="1148"/>
      <c r="BR20" s="1148"/>
      <c r="BS20" s="1148"/>
      <c r="BT20" s="1148"/>
      <c r="BU20" s="1148"/>
      <c r="BV20" s="1148"/>
      <c r="BW20" s="1148"/>
      <c r="BX20" s="1148"/>
      <c r="BY20" s="1148"/>
      <c r="BZ20" s="1148"/>
      <c r="CA20" s="1148"/>
      <c r="CB20" s="1148"/>
      <c r="CC20" s="1148"/>
      <c r="CD20" s="1148"/>
      <c r="CE20" s="1148"/>
      <c r="CF20" s="1148"/>
      <c r="CG20" s="1148"/>
      <c r="CH20" s="1148"/>
      <c r="CI20" s="1148"/>
      <c r="CJ20" s="1148"/>
      <c r="CK20" s="1148"/>
      <c r="CL20" s="1148"/>
      <c r="CM20" s="1148"/>
      <c r="CN20" s="1148"/>
      <c r="CO20" s="1148"/>
      <c r="CP20" s="1148"/>
      <c r="CQ20" s="1148"/>
      <c r="CR20" s="1148"/>
      <c r="CS20" s="1148"/>
      <c r="CT20" s="1148"/>
      <c r="CU20" s="1148"/>
      <c r="CV20" s="1148"/>
      <c r="CW20" s="1148"/>
      <c r="CX20" s="1148"/>
      <c r="CY20" s="1148"/>
      <c r="CZ20" s="1148"/>
      <c r="DA20" s="1148"/>
      <c r="DB20" s="1148"/>
      <c r="DC20" s="1148"/>
      <c r="DD20" s="1148"/>
      <c r="DE20" s="1148"/>
      <c r="DF20" s="1148"/>
      <c r="DG20" s="1148"/>
      <c r="DH20" s="1148"/>
      <c r="DI20" s="1148"/>
      <c r="DJ20" s="1148"/>
      <c r="DK20" s="1148"/>
      <c r="DL20" s="1148"/>
      <c r="DM20" s="1148"/>
      <c r="DN20" s="1148"/>
      <c r="DO20" s="1148"/>
      <c r="DP20" s="1148"/>
      <c r="DQ20" s="1148"/>
      <c r="DR20" s="1148"/>
      <c r="DS20" s="1148"/>
      <c r="DT20" s="1148"/>
      <c r="DU20" s="1148"/>
      <c r="DV20" s="1148"/>
      <c r="DW20" s="1148"/>
      <c r="DX20" s="1148"/>
      <c r="DY20" s="1148"/>
      <c r="DZ20" s="1148"/>
      <c r="EA20" s="1148"/>
    </row>
    <row r="21" spans="1:131" s="1149" customFormat="1" ht="35.1" customHeight="1">
      <c r="A21" s="1574"/>
      <c r="B21" s="1244" t="s">
        <v>800</v>
      </c>
      <c r="C21" s="1245"/>
      <c r="D21" s="1229"/>
      <c r="E21" s="1230">
        <v>0</v>
      </c>
      <c r="F21" s="1230">
        <f t="shared" ref="F21:Q23" si="10">F17</f>
        <v>0</v>
      </c>
      <c r="G21" s="1231">
        <f t="shared" si="10"/>
        <v>0</v>
      </c>
      <c r="H21" s="1231">
        <f t="shared" si="10"/>
        <v>0</v>
      </c>
      <c r="I21" s="1232">
        <f t="shared" si="10"/>
        <v>0</v>
      </c>
      <c r="J21" s="1233">
        <f t="shared" si="10"/>
        <v>0</v>
      </c>
      <c r="K21" s="1234">
        <f t="shared" si="10"/>
        <v>0</v>
      </c>
      <c r="L21" s="1234">
        <f t="shared" si="10"/>
        <v>0</v>
      </c>
      <c r="M21" s="1235">
        <f t="shared" si="10"/>
        <v>0</v>
      </c>
      <c r="N21" s="1233">
        <f t="shared" si="10"/>
        <v>0</v>
      </c>
      <c r="O21" s="1234">
        <f t="shared" si="10"/>
        <v>0</v>
      </c>
      <c r="P21" s="1234">
        <f t="shared" si="10"/>
        <v>0</v>
      </c>
      <c r="Q21" s="1235">
        <f t="shared" si="10"/>
        <v>0</v>
      </c>
      <c r="R21" s="1233">
        <f t="shared" si="9"/>
        <v>0</v>
      </c>
      <c r="S21" s="1234">
        <f t="shared" si="9"/>
        <v>0</v>
      </c>
      <c r="T21" s="1234">
        <f t="shared" si="9"/>
        <v>0</v>
      </c>
      <c r="U21" s="1235">
        <f t="shared" si="9"/>
        <v>0</v>
      </c>
      <c r="V21" s="1148"/>
      <c r="W21" s="1148"/>
      <c r="X21" s="1148"/>
      <c r="Y21" s="1148"/>
      <c r="Z21" s="1148"/>
      <c r="AA21" s="1148"/>
      <c r="AB21" s="1148"/>
      <c r="AC21" s="1148"/>
      <c r="AD21" s="1148"/>
      <c r="AE21" s="1148"/>
      <c r="AF21" s="1148"/>
      <c r="AG21" s="1148"/>
      <c r="AH21" s="1148"/>
      <c r="AI21" s="1148"/>
      <c r="AJ21" s="1148"/>
      <c r="AK21" s="1148"/>
      <c r="AL21" s="1148"/>
      <c r="AM21" s="1148"/>
      <c r="AN21" s="1148"/>
      <c r="AO21" s="1148"/>
      <c r="AP21" s="1148"/>
      <c r="AQ21" s="1148"/>
      <c r="AR21" s="1148"/>
      <c r="AS21" s="1148"/>
      <c r="AT21" s="1148"/>
      <c r="AU21" s="1148"/>
      <c r="AV21" s="1148"/>
      <c r="AW21" s="1148"/>
      <c r="AX21" s="1148"/>
      <c r="AY21" s="1148"/>
      <c r="AZ21" s="1148"/>
      <c r="BA21" s="1148"/>
      <c r="BB21" s="1148"/>
      <c r="BC21" s="1148"/>
      <c r="BD21" s="1148"/>
      <c r="BE21" s="1148"/>
      <c r="BF21" s="1148"/>
      <c r="BG21" s="1148"/>
      <c r="BH21" s="1148"/>
      <c r="BI21" s="1148"/>
      <c r="BJ21" s="1148"/>
      <c r="BK21" s="1148"/>
      <c r="BL21" s="1148"/>
      <c r="BM21" s="1148"/>
      <c r="BN21" s="1148"/>
      <c r="BO21" s="1148"/>
      <c r="BP21" s="1148"/>
      <c r="BQ21" s="1148"/>
      <c r="BR21" s="1148"/>
      <c r="BS21" s="1148"/>
      <c r="BT21" s="1148"/>
      <c r="BU21" s="1148"/>
      <c r="BV21" s="1148"/>
      <c r="BW21" s="1148"/>
      <c r="BX21" s="1148"/>
      <c r="BY21" s="1148"/>
      <c r="BZ21" s="1148"/>
      <c r="CA21" s="1148"/>
      <c r="CB21" s="1148"/>
      <c r="CC21" s="1148"/>
      <c r="CD21" s="1148"/>
      <c r="CE21" s="1148"/>
      <c r="CF21" s="1148"/>
      <c r="CG21" s="1148"/>
      <c r="CH21" s="1148"/>
      <c r="CI21" s="1148"/>
      <c r="CJ21" s="1148"/>
      <c r="CK21" s="1148"/>
      <c r="CL21" s="1148"/>
      <c r="CM21" s="1148"/>
      <c r="CN21" s="1148"/>
      <c r="CO21" s="1148"/>
      <c r="CP21" s="1148"/>
      <c r="CQ21" s="1148"/>
      <c r="CR21" s="1148"/>
      <c r="CS21" s="1148"/>
      <c r="CT21" s="1148"/>
      <c r="CU21" s="1148"/>
      <c r="CV21" s="1148"/>
      <c r="CW21" s="1148"/>
      <c r="CX21" s="1148"/>
      <c r="CY21" s="1148"/>
      <c r="CZ21" s="1148"/>
      <c r="DA21" s="1148"/>
      <c r="DB21" s="1148"/>
      <c r="DC21" s="1148"/>
      <c r="DD21" s="1148"/>
      <c r="DE21" s="1148"/>
      <c r="DF21" s="1148"/>
      <c r="DG21" s="1148"/>
      <c r="DH21" s="1148"/>
      <c r="DI21" s="1148"/>
      <c r="DJ21" s="1148"/>
      <c r="DK21" s="1148"/>
      <c r="DL21" s="1148"/>
      <c r="DM21" s="1148"/>
      <c r="DN21" s="1148"/>
      <c r="DO21" s="1148"/>
      <c r="DP21" s="1148"/>
      <c r="DQ21" s="1148"/>
      <c r="DR21" s="1148"/>
      <c r="DS21" s="1148"/>
      <c r="DT21" s="1148"/>
      <c r="DU21" s="1148"/>
      <c r="DV21" s="1148"/>
      <c r="DW21" s="1148"/>
      <c r="DX21" s="1148"/>
      <c r="DY21" s="1148"/>
      <c r="DZ21" s="1148"/>
      <c r="EA21" s="1148"/>
    </row>
    <row r="22" spans="1:131" s="1149" customFormat="1" ht="35.1" customHeight="1">
      <c r="A22" s="1574"/>
      <c r="B22" s="1244" t="s">
        <v>804</v>
      </c>
      <c r="C22" s="1245"/>
      <c r="D22" s="1229"/>
      <c r="E22" s="1230">
        <v>0</v>
      </c>
      <c r="F22" s="1230">
        <f t="shared" si="10"/>
        <v>0</v>
      </c>
      <c r="G22" s="1231">
        <f t="shared" si="10"/>
        <v>0</v>
      </c>
      <c r="H22" s="1231">
        <f t="shared" si="10"/>
        <v>0</v>
      </c>
      <c r="I22" s="1232">
        <f t="shared" si="10"/>
        <v>0</v>
      </c>
      <c r="J22" s="1233">
        <f t="shared" si="10"/>
        <v>0</v>
      </c>
      <c r="K22" s="1234">
        <f t="shared" si="10"/>
        <v>0</v>
      </c>
      <c r="L22" s="1234">
        <f t="shared" si="10"/>
        <v>16390.5</v>
      </c>
      <c r="M22" s="1235">
        <f t="shared" si="10"/>
        <v>16390.5</v>
      </c>
      <c r="N22" s="1233">
        <f t="shared" si="10"/>
        <v>0</v>
      </c>
      <c r="O22" s="1234">
        <f t="shared" si="10"/>
        <v>0</v>
      </c>
      <c r="P22" s="1234">
        <f t="shared" si="10"/>
        <v>92879.5</v>
      </c>
      <c r="Q22" s="1235">
        <f t="shared" si="10"/>
        <v>92879.5</v>
      </c>
      <c r="R22" s="1233">
        <f t="shared" si="9"/>
        <v>0</v>
      </c>
      <c r="S22" s="1234">
        <f t="shared" si="9"/>
        <v>0</v>
      </c>
      <c r="T22" s="1234">
        <f t="shared" si="9"/>
        <v>109270</v>
      </c>
      <c r="U22" s="1235">
        <f t="shared" si="9"/>
        <v>109270</v>
      </c>
      <c r="V22" s="1148"/>
      <c r="W22" s="1148"/>
      <c r="X22" s="1148"/>
      <c r="Y22" s="1148"/>
      <c r="Z22" s="1148"/>
      <c r="AA22" s="1148"/>
      <c r="AB22" s="1148"/>
      <c r="AC22" s="1148"/>
      <c r="AD22" s="1148"/>
      <c r="AE22" s="1148"/>
      <c r="AF22" s="1148"/>
      <c r="AG22" s="1148"/>
      <c r="AH22" s="1148"/>
      <c r="AI22" s="1148"/>
      <c r="AJ22" s="1148"/>
      <c r="AK22" s="1148"/>
      <c r="AL22" s="1148"/>
      <c r="AM22" s="1148"/>
      <c r="AN22" s="1148"/>
      <c r="AO22" s="1148"/>
      <c r="AP22" s="1148"/>
      <c r="AQ22" s="1148"/>
      <c r="AR22" s="1148"/>
      <c r="AS22" s="1148"/>
      <c r="AT22" s="1148"/>
      <c r="AU22" s="1148"/>
      <c r="AV22" s="1148"/>
      <c r="AW22" s="1148"/>
      <c r="AX22" s="1148"/>
      <c r="AY22" s="1148"/>
      <c r="AZ22" s="1148"/>
      <c r="BA22" s="1148"/>
      <c r="BB22" s="1148"/>
      <c r="BC22" s="1148"/>
      <c r="BD22" s="1148"/>
      <c r="BE22" s="1148"/>
      <c r="BF22" s="1148"/>
      <c r="BG22" s="1148"/>
      <c r="BH22" s="1148"/>
      <c r="BI22" s="1148"/>
      <c r="BJ22" s="1148"/>
      <c r="BK22" s="1148"/>
      <c r="BL22" s="1148"/>
      <c r="BM22" s="1148"/>
      <c r="BN22" s="1148"/>
      <c r="BO22" s="1148"/>
      <c r="BP22" s="1148"/>
      <c r="BQ22" s="1148"/>
      <c r="BR22" s="1148"/>
      <c r="BS22" s="1148"/>
      <c r="BT22" s="1148"/>
      <c r="BU22" s="1148"/>
      <c r="BV22" s="1148"/>
      <c r="BW22" s="1148"/>
      <c r="BX22" s="1148"/>
      <c r="BY22" s="1148"/>
      <c r="BZ22" s="1148"/>
      <c r="CA22" s="1148"/>
      <c r="CB22" s="1148"/>
      <c r="CC22" s="1148"/>
      <c r="CD22" s="1148"/>
      <c r="CE22" s="1148"/>
      <c r="CF22" s="1148"/>
      <c r="CG22" s="1148"/>
      <c r="CH22" s="1148"/>
      <c r="CI22" s="1148"/>
      <c r="CJ22" s="1148"/>
      <c r="CK22" s="1148"/>
      <c r="CL22" s="1148"/>
      <c r="CM22" s="1148"/>
      <c r="CN22" s="1148"/>
      <c r="CO22" s="1148"/>
      <c r="CP22" s="1148"/>
      <c r="CQ22" s="1148"/>
      <c r="CR22" s="1148"/>
      <c r="CS22" s="1148"/>
      <c r="CT22" s="1148"/>
      <c r="CU22" s="1148"/>
      <c r="CV22" s="1148"/>
      <c r="CW22" s="1148"/>
      <c r="CX22" s="1148"/>
      <c r="CY22" s="1148"/>
      <c r="CZ22" s="1148"/>
      <c r="DA22" s="1148"/>
      <c r="DB22" s="1148"/>
      <c r="DC22" s="1148"/>
      <c r="DD22" s="1148"/>
      <c r="DE22" s="1148"/>
      <c r="DF22" s="1148"/>
      <c r="DG22" s="1148"/>
      <c r="DH22" s="1148"/>
      <c r="DI22" s="1148"/>
      <c r="DJ22" s="1148"/>
      <c r="DK22" s="1148"/>
      <c r="DL22" s="1148"/>
      <c r="DM22" s="1148"/>
      <c r="DN22" s="1148"/>
      <c r="DO22" s="1148"/>
      <c r="DP22" s="1148"/>
      <c r="DQ22" s="1148"/>
      <c r="DR22" s="1148"/>
      <c r="DS22" s="1148"/>
      <c r="DT22" s="1148"/>
      <c r="DU22" s="1148"/>
      <c r="DV22" s="1148"/>
      <c r="DW22" s="1148"/>
      <c r="DX22" s="1148"/>
      <c r="DY22" s="1148"/>
      <c r="DZ22" s="1148"/>
      <c r="EA22" s="1148"/>
    </row>
    <row r="23" spans="1:131" s="1149" customFormat="1" ht="35.1" customHeight="1" thickBot="1">
      <c r="A23" s="1575"/>
      <c r="B23" s="1151" t="s">
        <v>802</v>
      </c>
      <c r="C23" s="1246"/>
      <c r="D23" s="1247"/>
      <c r="E23" s="1248">
        <v>0</v>
      </c>
      <c r="F23" s="1248">
        <f t="shared" si="10"/>
        <v>0</v>
      </c>
      <c r="G23" s="1249">
        <f t="shared" si="10"/>
        <v>0</v>
      </c>
      <c r="H23" s="1249">
        <f t="shared" si="10"/>
        <v>0</v>
      </c>
      <c r="I23" s="1250">
        <f t="shared" si="10"/>
        <v>0</v>
      </c>
      <c r="J23" s="1251">
        <f t="shared" si="10"/>
        <v>0</v>
      </c>
      <c r="K23" s="1252">
        <f t="shared" si="10"/>
        <v>0</v>
      </c>
      <c r="L23" s="1252">
        <f t="shared" si="10"/>
        <v>16390.5</v>
      </c>
      <c r="M23" s="1253">
        <f t="shared" si="10"/>
        <v>16390.5</v>
      </c>
      <c r="N23" s="1251">
        <f t="shared" si="10"/>
        <v>0</v>
      </c>
      <c r="O23" s="1252">
        <f t="shared" si="10"/>
        <v>0</v>
      </c>
      <c r="P23" s="1252">
        <f t="shared" si="10"/>
        <v>92879.5</v>
      </c>
      <c r="Q23" s="1253">
        <f t="shared" si="10"/>
        <v>92879.5</v>
      </c>
      <c r="R23" s="1251">
        <f t="shared" si="9"/>
        <v>0</v>
      </c>
      <c r="S23" s="1252">
        <f t="shared" si="9"/>
        <v>0</v>
      </c>
      <c r="T23" s="1252">
        <f t="shared" si="9"/>
        <v>109270</v>
      </c>
      <c r="U23" s="1253">
        <f t="shared" si="9"/>
        <v>109270</v>
      </c>
      <c r="V23" s="1148"/>
      <c r="W23" s="1148"/>
      <c r="X23" s="1148"/>
      <c r="Y23" s="1148"/>
      <c r="Z23" s="1148"/>
      <c r="AA23" s="1148"/>
      <c r="AB23" s="1148"/>
      <c r="AC23" s="1148"/>
      <c r="AD23" s="1148"/>
      <c r="AE23" s="1148"/>
      <c r="AF23" s="1148"/>
      <c r="AG23" s="1148"/>
      <c r="AH23" s="1148"/>
      <c r="AI23" s="1148"/>
      <c r="AJ23" s="1148"/>
      <c r="AK23" s="1148"/>
      <c r="AL23" s="1148"/>
      <c r="AM23" s="1148"/>
      <c r="AN23" s="1148"/>
      <c r="AO23" s="1148"/>
      <c r="AP23" s="1148"/>
      <c r="AQ23" s="1148"/>
      <c r="AR23" s="1148"/>
      <c r="AS23" s="1148"/>
      <c r="AT23" s="1148"/>
      <c r="AU23" s="1148"/>
      <c r="AV23" s="1148"/>
      <c r="AW23" s="1148"/>
      <c r="AX23" s="1148"/>
      <c r="AY23" s="1148"/>
      <c r="AZ23" s="1148"/>
      <c r="BA23" s="1148"/>
      <c r="BB23" s="1148"/>
      <c r="BC23" s="1148"/>
      <c r="BD23" s="1148"/>
      <c r="BE23" s="1148"/>
      <c r="BF23" s="1148"/>
      <c r="BG23" s="1148"/>
      <c r="BH23" s="1148"/>
      <c r="BI23" s="1148"/>
      <c r="BJ23" s="1148"/>
      <c r="BK23" s="1148"/>
      <c r="BL23" s="1148"/>
      <c r="BM23" s="1148"/>
      <c r="BN23" s="1148"/>
      <c r="BO23" s="1148"/>
      <c r="BP23" s="1148"/>
      <c r="BQ23" s="1148"/>
      <c r="BR23" s="1148"/>
      <c r="BS23" s="1148"/>
      <c r="BT23" s="1148"/>
      <c r="BU23" s="1148"/>
      <c r="BV23" s="1148"/>
      <c r="BW23" s="1148"/>
      <c r="BX23" s="1148"/>
      <c r="BY23" s="1148"/>
      <c r="BZ23" s="1148"/>
      <c r="CA23" s="1148"/>
      <c r="CB23" s="1148"/>
      <c r="CC23" s="1148"/>
      <c r="CD23" s="1148"/>
      <c r="CE23" s="1148"/>
      <c r="CF23" s="1148"/>
      <c r="CG23" s="1148"/>
      <c r="CH23" s="1148"/>
      <c r="CI23" s="1148"/>
      <c r="CJ23" s="1148"/>
      <c r="CK23" s="1148"/>
      <c r="CL23" s="1148"/>
      <c r="CM23" s="1148"/>
      <c r="CN23" s="1148"/>
      <c r="CO23" s="1148"/>
      <c r="CP23" s="1148"/>
      <c r="CQ23" s="1148"/>
      <c r="CR23" s="1148"/>
      <c r="CS23" s="1148"/>
      <c r="CT23" s="1148"/>
      <c r="CU23" s="1148"/>
      <c r="CV23" s="1148"/>
      <c r="CW23" s="1148"/>
      <c r="CX23" s="1148"/>
      <c r="CY23" s="1148"/>
      <c r="CZ23" s="1148"/>
      <c r="DA23" s="1148"/>
      <c r="DB23" s="1148"/>
      <c r="DC23" s="1148"/>
      <c r="DD23" s="1148"/>
      <c r="DE23" s="1148"/>
      <c r="DF23" s="1148"/>
      <c r="DG23" s="1148"/>
      <c r="DH23" s="1148"/>
      <c r="DI23" s="1148"/>
      <c r="DJ23" s="1148"/>
      <c r="DK23" s="1148"/>
      <c r="DL23" s="1148"/>
      <c r="DM23" s="1148"/>
      <c r="DN23" s="1148"/>
      <c r="DO23" s="1148"/>
      <c r="DP23" s="1148"/>
      <c r="DQ23" s="1148"/>
      <c r="DR23" s="1148"/>
      <c r="DS23" s="1148"/>
      <c r="DT23" s="1148"/>
      <c r="DU23" s="1148"/>
      <c r="DV23" s="1148"/>
      <c r="DW23" s="1148"/>
      <c r="DX23" s="1148"/>
      <c r="DY23" s="1148"/>
      <c r="DZ23" s="1148"/>
      <c r="EA23" s="1148"/>
    </row>
    <row r="24" spans="1:131" s="1149" customFormat="1" ht="19.5" customHeight="1">
      <c r="A24" s="1152"/>
      <c r="B24" s="1153"/>
      <c r="C24" s="1153"/>
      <c r="D24" s="1153"/>
      <c r="E24" s="1153"/>
      <c r="F24" s="1154"/>
      <c r="G24" s="1154"/>
      <c r="H24" s="1154"/>
      <c r="I24" s="1154"/>
      <c r="J24" s="1154"/>
      <c r="K24" s="1154"/>
      <c r="L24" s="1153"/>
      <c r="M24" s="1153"/>
      <c r="N24" s="1154"/>
      <c r="O24" s="1154"/>
      <c r="P24" s="1155"/>
      <c r="Q24" s="1153"/>
      <c r="R24" s="1154"/>
      <c r="S24" s="1154"/>
      <c r="T24" s="1153"/>
      <c r="U24" s="1156"/>
      <c r="V24" s="1148"/>
      <c r="W24" s="1148"/>
      <c r="X24" s="1148"/>
      <c r="Y24" s="1148"/>
      <c r="Z24" s="1148"/>
      <c r="AA24" s="1148"/>
      <c r="AB24" s="1148"/>
      <c r="AC24" s="1148"/>
      <c r="AD24" s="1148"/>
      <c r="AE24" s="1148"/>
      <c r="AF24" s="1148"/>
      <c r="AG24" s="1148"/>
      <c r="AH24" s="1148"/>
      <c r="AI24" s="1148"/>
      <c r="AJ24" s="1148"/>
      <c r="AK24" s="1148"/>
      <c r="AL24" s="1148"/>
      <c r="AM24" s="1148"/>
      <c r="AN24" s="1148"/>
      <c r="AO24" s="1148"/>
      <c r="AP24" s="1148"/>
      <c r="AQ24" s="1148"/>
      <c r="AR24" s="1148"/>
      <c r="AS24" s="1148"/>
      <c r="AT24" s="1148"/>
      <c r="AU24" s="1148"/>
      <c r="AV24" s="1148"/>
      <c r="AW24" s="1148"/>
      <c r="AX24" s="1148"/>
      <c r="AY24" s="1148"/>
      <c r="AZ24" s="1148"/>
      <c r="BA24" s="1148"/>
      <c r="BB24" s="1148"/>
      <c r="BC24" s="1148"/>
      <c r="BD24" s="1148"/>
      <c r="BE24" s="1148"/>
      <c r="BF24" s="1148"/>
      <c r="BG24" s="1148"/>
      <c r="BH24" s="1148"/>
      <c r="BI24" s="1148"/>
      <c r="BJ24" s="1148"/>
      <c r="BK24" s="1148"/>
      <c r="BL24" s="1148"/>
      <c r="BM24" s="1148"/>
      <c r="BN24" s="1148"/>
      <c r="BO24" s="1148"/>
      <c r="BP24" s="1148"/>
      <c r="BQ24" s="1148"/>
      <c r="BR24" s="1148"/>
      <c r="BS24" s="1148"/>
      <c r="BT24" s="1148"/>
      <c r="BU24" s="1148"/>
      <c r="BV24" s="1148"/>
      <c r="BW24" s="1148"/>
      <c r="BX24" s="1148"/>
      <c r="BY24" s="1148"/>
      <c r="BZ24" s="1148"/>
      <c r="CA24" s="1148"/>
      <c r="CB24" s="1148"/>
      <c r="CC24" s="1148"/>
      <c r="CD24" s="1148"/>
      <c r="CE24" s="1148"/>
      <c r="CF24" s="1148"/>
      <c r="CG24" s="1148"/>
      <c r="CH24" s="1148"/>
      <c r="CI24" s="1148"/>
      <c r="CJ24" s="1148"/>
      <c r="CK24" s="1148"/>
      <c r="CL24" s="1148"/>
      <c r="CM24" s="1148"/>
      <c r="CN24" s="1148"/>
      <c r="CO24" s="1148"/>
      <c r="CP24" s="1148"/>
      <c r="CQ24" s="1148"/>
      <c r="CR24" s="1148"/>
      <c r="CS24" s="1148"/>
      <c r="CT24" s="1148"/>
      <c r="CU24" s="1148"/>
      <c r="CV24" s="1148"/>
      <c r="CW24" s="1148"/>
      <c r="CX24" s="1148"/>
      <c r="CY24" s="1148"/>
      <c r="CZ24" s="1148"/>
      <c r="DA24" s="1148"/>
      <c r="DB24" s="1148"/>
      <c r="DC24" s="1148"/>
      <c r="DD24" s="1148"/>
      <c r="DE24" s="1148"/>
      <c r="DF24" s="1148"/>
      <c r="DG24" s="1148"/>
      <c r="DH24" s="1148"/>
      <c r="DI24" s="1148"/>
      <c r="DJ24" s="1148"/>
      <c r="DK24" s="1148"/>
      <c r="DL24" s="1148"/>
      <c r="DM24" s="1148"/>
      <c r="DN24" s="1148"/>
      <c r="DO24" s="1148"/>
      <c r="DP24" s="1148"/>
      <c r="DQ24" s="1148"/>
      <c r="DR24" s="1148"/>
      <c r="DS24" s="1148"/>
      <c r="DT24" s="1148"/>
      <c r="DU24" s="1148"/>
      <c r="DV24" s="1148"/>
      <c r="DW24" s="1148"/>
      <c r="DX24" s="1148"/>
      <c r="DY24" s="1148"/>
      <c r="DZ24" s="1148"/>
      <c r="EA24" s="1148"/>
    </row>
    <row r="25" spans="1:131" s="1157" customFormat="1" ht="40.5" hidden="1" customHeight="1">
      <c r="A25" s="1536" t="s">
        <v>805</v>
      </c>
      <c r="B25" s="1536"/>
      <c r="C25" s="1536"/>
      <c r="D25" s="1536"/>
      <c r="E25" s="1536"/>
      <c r="F25" s="1536"/>
      <c r="G25" s="1536"/>
      <c r="H25" s="1536"/>
      <c r="I25" s="1536"/>
      <c r="J25" s="1536"/>
      <c r="K25" s="1536"/>
      <c r="L25" s="1536"/>
      <c r="M25" s="1536"/>
      <c r="N25" s="1536"/>
      <c r="O25" s="1536"/>
      <c r="P25" s="1536"/>
      <c r="Q25" s="1536"/>
      <c r="R25" s="1536"/>
      <c r="S25" s="1536"/>
      <c r="T25" s="1536"/>
      <c r="U25" s="1536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</row>
    <row r="26" spans="1:131" s="1157" customFormat="1" ht="30" hidden="1" customHeight="1">
      <c r="A26" s="1158" t="s">
        <v>806</v>
      </c>
      <c r="B26" s="1158"/>
      <c r="C26" s="1158"/>
      <c r="D26" s="1158"/>
      <c r="E26" s="1158"/>
      <c r="F26" s="1158"/>
      <c r="G26" s="1158"/>
      <c r="H26" s="1158"/>
      <c r="I26" s="1158"/>
      <c r="J26" s="1159"/>
      <c r="K26" s="1159"/>
      <c r="L26" s="1159"/>
      <c r="M26" s="1160"/>
      <c r="N26" s="1159"/>
      <c r="O26" s="1159"/>
      <c r="P26" s="1159"/>
      <c r="Q26" s="1159"/>
      <c r="R26" s="1159"/>
      <c r="S26" s="1161"/>
      <c r="T26" s="1161"/>
      <c r="U26" s="1161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</row>
    <row r="27" spans="1:131" s="1157" customFormat="1" ht="30" hidden="1" customHeight="1">
      <c r="A27" s="1158" t="s">
        <v>807</v>
      </c>
      <c r="B27" s="1158"/>
      <c r="C27" s="1158"/>
      <c r="D27" s="1158"/>
      <c r="E27" s="1158"/>
      <c r="F27" s="1158"/>
      <c r="G27" s="1158"/>
      <c r="H27" s="1158"/>
      <c r="I27" s="1158"/>
      <c r="J27" s="1158"/>
      <c r="K27" s="1158"/>
      <c r="L27" s="1158"/>
      <c r="M27" s="1162"/>
      <c r="N27" s="1158"/>
      <c r="O27" s="1158"/>
      <c r="P27" s="1158"/>
      <c r="Q27" s="1158"/>
      <c r="R27" s="1158"/>
      <c r="S27" s="1158"/>
      <c r="T27" s="1158"/>
      <c r="U27" s="1163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</row>
    <row r="28" spans="1:131" s="1157" customFormat="1" ht="30" hidden="1" customHeight="1">
      <c r="A28" s="1158" t="s">
        <v>808</v>
      </c>
      <c r="B28" s="1158"/>
      <c r="C28" s="1158"/>
      <c r="D28" s="1158"/>
      <c r="E28" s="1158"/>
      <c r="F28" s="1158"/>
      <c r="G28" s="1158"/>
      <c r="H28" s="1158"/>
      <c r="I28" s="1158"/>
      <c r="J28" s="1159"/>
      <c r="K28" s="1159"/>
      <c r="L28" s="1159"/>
      <c r="M28" s="1160"/>
      <c r="N28" s="1159"/>
      <c r="O28" s="1160"/>
      <c r="P28" s="1159"/>
      <c r="Q28" s="1159"/>
      <c r="R28" s="1159"/>
      <c r="S28" s="1164"/>
      <c r="T28" s="1164"/>
      <c r="U28" s="1164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</row>
    <row r="29" spans="1:131" s="1157" customFormat="1" ht="30" hidden="1" customHeight="1">
      <c r="A29" s="1159" t="s">
        <v>809</v>
      </c>
      <c r="B29" s="1164"/>
      <c r="C29" s="1164"/>
      <c r="D29" s="1164"/>
      <c r="E29" s="1164"/>
      <c r="F29" s="1164"/>
      <c r="G29" s="1164"/>
      <c r="H29" s="1164"/>
      <c r="I29" s="1164"/>
      <c r="J29" s="1164"/>
      <c r="K29" s="1164"/>
      <c r="L29" s="1164"/>
      <c r="M29" s="1164"/>
      <c r="N29" s="1164"/>
      <c r="O29" s="1164"/>
      <c r="P29" s="1164"/>
      <c r="Q29" s="1164"/>
      <c r="R29" s="1164"/>
      <c r="S29" s="1161"/>
      <c r="T29" s="1161"/>
      <c r="U29" s="1161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</row>
    <row r="30" spans="1:131" s="1157" customFormat="1" ht="30" hidden="1" customHeight="1">
      <c r="A30" s="1165" t="s">
        <v>810</v>
      </c>
      <c r="B30" s="1166"/>
      <c r="C30" s="1166"/>
      <c r="D30" s="1166"/>
      <c r="E30" s="1166"/>
      <c r="F30" s="1166"/>
      <c r="G30" s="1166"/>
      <c r="H30" s="1166"/>
      <c r="I30" s="1166"/>
      <c r="J30" s="1166"/>
      <c r="K30" s="1166"/>
      <c r="L30" s="1166"/>
      <c r="M30" s="1160"/>
      <c r="N30" s="1159"/>
      <c r="O30" s="1159"/>
      <c r="P30" s="1159"/>
      <c r="Q30" s="1159"/>
      <c r="R30" s="1159"/>
      <c r="S30" s="1161"/>
      <c r="T30" s="1161"/>
      <c r="U30" s="1161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</row>
    <row r="31" spans="1:131" s="1157" customFormat="1" ht="30" hidden="1" customHeight="1">
      <c r="A31" s="1158" t="s">
        <v>811</v>
      </c>
      <c r="B31" s="1167"/>
      <c r="C31" s="1167"/>
      <c r="D31" s="1167"/>
      <c r="E31" s="1167"/>
      <c r="F31" s="1167"/>
      <c r="G31" s="1167"/>
      <c r="H31" s="1167"/>
      <c r="I31" s="1167"/>
      <c r="J31" s="1167"/>
      <c r="K31" s="1167"/>
      <c r="L31" s="1167"/>
      <c r="M31" s="1159"/>
      <c r="N31" s="1159"/>
      <c r="O31" s="1159"/>
      <c r="P31" s="1159"/>
      <c r="Q31" s="1159"/>
      <c r="R31" s="1159"/>
      <c r="S31" s="1161"/>
      <c r="T31" s="1161"/>
      <c r="U31" s="1161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</row>
    <row r="32" spans="1:131" s="1157" customFormat="1" ht="30" hidden="1" customHeight="1">
      <c r="A32" s="1158" t="s">
        <v>812</v>
      </c>
      <c r="B32" s="1159"/>
      <c r="C32" s="1159"/>
      <c r="D32" s="1159"/>
      <c r="E32" s="1159"/>
      <c r="F32" s="1159"/>
      <c r="G32" s="1159"/>
      <c r="H32" s="1159"/>
      <c r="I32" s="1159"/>
      <c r="J32" s="1159"/>
      <c r="K32" s="1159"/>
      <c r="L32" s="1159"/>
      <c r="M32" s="1159"/>
      <c r="N32" s="1159"/>
      <c r="O32" s="1159"/>
      <c r="P32" s="1159"/>
      <c r="Q32" s="1159"/>
      <c r="R32" s="1159"/>
      <c r="S32" s="1161"/>
      <c r="T32" s="1161"/>
      <c r="U32" s="1161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</row>
    <row r="33" spans="1:131" s="1157" customFormat="1" ht="30" hidden="1" customHeight="1">
      <c r="A33" s="1165" t="s">
        <v>813</v>
      </c>
      <c r="B33" s="1166"/>
      <c r="C33" s="1166"/>
      <c r="D33" s="1159"/>
      <c r="E33" s="1159"/>
      <c r="F33" s="1159"/>
      <c r="G33" s="1159"/>
      <c r="H33" s="1159"/>
      <c r="I33" s="1159"/>
      <c r="J33" s="1159"/>
      <c r="K33" s="1159"/>
      <c r="L33" s="1159"/>
      <c r="M33" s="1159"/>
      <c r="N33" s="1159"/>
      <c r="O33" s="1159"/>
      <c r="P33" s="1159"/>
      <c r="Q33" s="1159"/>
      <c r="R33" s="1159"/>
      <c r="S33" s="1161"/>
      <c r="T33" s="1161"/>
      <c r="U33" s="1161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</row>
    <row r="34" spans="1:131" s="1157" customFormat="1" ht="30" hidden="1" customHeight="1">
      <c r="A34" s="1168" t="s">
        <v>728</v>
      </c>
      <c r="B34" s="1159"/>
      <c r="C34" s="1159"/>
      <c r="D34" s="1159"/>
      <c r="E34" s="1159"/>
      <c r="F34" s="1159"/>
      <c r="G34" s="1159"/>
      <c r="H34" s="1159"/>
      <c r="I34" s="1159"/>
      <c r="J34" s="1159"/>
      <c r="K34" s="1159"/>
      <c r="L34" s="1159"/>
      <c r="M34" s="1159"/>
      <c r="N34" s="1159"/>
      <c r="O34" s="1159"/>
      <c r="P34" s="1159"/>
      <c r="Q34" s="1159"/>
      <c r="R34" s="1159"/>
      <c r="S34" s="1161"/>
      <c r="T34" s="1161"/>
      <c r="U34" s="1161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</row>
    <row r="35" spans="1:131" s="1157" customFormat="1" ht="30" hidden="1" customHeight="1">
      <c r="A35" s="1168" t="s">
        <v>814</v>
      </c>
      <c r="B35" s="1159"/>
      <c r="C35" s="1159"/>
      <c r="D35" s="1159"/>
      <c r="E35" s="1159"/>
      <c r="F35" s="1159"/>
      <c r="G35" s="1159"/>
      <c r="H35" s="1159"/>
      <c r="I35" s="1159"/>
      <c r="J35" s="1159"/>
      <c r="K35" s="1159"/>
      <c r="L35" s="1159"/>
      <c r="M35" s="1159"/>
      <c r="N35" s="1159"/>
      <c r="O35" s="1159"/>
      <c r="P35" s="1159"/>
      <c r="Q35" s="1159"/>
      <c r="R35" s="1159"/>
      <c r="S35" s="1161"/>
      <c r="T35" s="1161"/>
      <c r="U35" s="1161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</row>
    <row r="36" spans="1:131" s="1157" customFormat="1" ht="30" customHeight="1">
      <c r="A36" s="1169"/>
      <c r="B36" s="1159"/>
      <c r="C36" s="1159"/>
      <c r="D36" s="1159"/>
      <c r="E36" s="1159"/>
      <c r="F36" s="1159"/>
      <c r="G36" s="1159"/>
      <c r="H36" s="1159"/>
      <c r="I36" s="1159"/>
      <c r="J36" s="1159"/>
      <c r="K36" s="1159"/>
      <c r="L36" s="1159"/>
      <c r="M36" s="1159"/>
      <c r="N36" s="1159"/>
      <c r="O36" s="1159"/>
      <c r="P36" s="1159"/>
      <c r="Q36" s="1159"/>
      <c r="R36" s="1159"/>
      <c r="S36" s="1161"/>
      <c r="T36" s="1161"/>
      <c r="U36" s="1161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</row>
    <row r="37" spans="1:131" s="1182" customFormat="1" ht="23.25" customHeight="1">
      <c r="A37" s="1283" t="s">
        <v>831</v>
      </c>
      <c r="B37" s="1283"/>
      <c r="C37" s="1283"/>
      <c r="D37" s="1283"/>
      <c r="E37" s="1283"/>
      <c r="F37" s="1283"/>
      <c r="G37" s="1283"/>
      <c r="H37" s="1284" t="s">
        <v>816</v>
      </c>
      <c r="I37" s="1284"/>
      <c r="J37" s="1284"/>
      <c r="K37" s="1284"/>
      <c r="L37" s="1179"/>
      <c r="M37" s="1179"/>
      <c r="N37" s="1179"/>
      <c r="O37" s="1179"/>
      <c r="Q37" s="1179"/>
      <c r="R37" s="1179" t="s">
        <v>830</v>
      </c>
      <c r="S37" s="1180"/>
      <c r="T37" s="1180"/>
      <c r="U37" s="1180"/>
      <c r="V37" s="1181"/>
      <c r="W37" s="1181"/>
      <c r="X37" s="1181"/>
      <c r="Y37" s="1181"/>
      <c r="Z37" s="1181"/>
      <c r="AA37" s="1181"/>
      <c r="AB37" s="1181"/>
      <c r="AC37" s="1181"/>
      <c r="AD37" s="1181"/>
      <c r="AE37" s="1181"/>
      <c r="AF37" s="1181"/>
      <c r="AG37" s="1181"/>
      <c r="AH37" s="1181"/>
      <c r="AI37" s="1181"/>
      <c r="AJ37" s="1181"/>
      <c r="AK37" s="1181"/>
      <c r="AL37" s="1181"/>
      <c r="AM37" s="1181"/>
      <c r="AN37" s="1181"/>
      <c r="AO37" s="1181"/>
      <c r="AP37" s="1181"/>
      <c r="AQ37" s="1181"/>
      <c r="AR37" s="1181"/>
      <c r="AS37" s="1181"/>
      <c r="AT37" s="1181"/>
      <c r="AU37" s="1181"/>
      <c r="AV37" s="1181"/>
      <c r="AW37" s="1181"/>
      <c r="AX37" s="1181"/>
      <c r="AY37" s="1181"/>
      <c r="AZ37" s="1181"/>
      <c r="BA37" s="1181"/>
      <c r="BB37" s="1181"/>
      <c r="BC37" s="1181"/>
      <c r="BD37" s="1181"/>
      <c r="BE37" s="1181"/>
      <c r="BF37" s="1181"/>
      <c r="BG37" s="1181"/>
      <c r="BH37" s="1181"/>
      <c r="BI37" s="1181"/>
      <c r="BJ37" s="1181"/>
      <c r="BK37" s="1181"/>
      <c r="BL37" s="1181"/>
      <c r="BM37" s="1181"/>
      <c r="BN37" s="1181"/>
      <c r="BO37" s="1181"/>
      <c r="BP37" s="1181"/>
      <c r="BQ37" s="1181"/>
      <c r="BR37" s="1181"/>
      <c r="BS37" s="1181"/>
      <c r="BT37" s="1181"/>
      <c r="BU37" s="1181"/>
      <c r="BV37" s="1181"/>
      <c r="BW37" s="1181"/>
      <c r="BX37" s="1181"/>
      <c r="BY37" s="1181"/>
      <c r="BZ37" s="1181"/>
      <c r="CA37" s="1181"/>
      <c r="CB37" s="1181"/>
      <c r="CC37" s="1181"/>
      <c r="CD37" s="1181"/>
      <c r="CE37" s="1181"/>
      <c r="CF37" s="1181"/>
      <c r="CG37" s="1181"/>
      <c r="CH37" s="1181"/>
      <c r="CI37" s="1181"/>
      <c r="CJ37" s="1181"/>
      <c r="CK37" s="1181"/>
      <c r="CL37" s="1181"/>
      <c r="CM37" s="1181"/>
      <c r="CN37" s="1181"/>
      <c r="CO37" s="1181"/>
      <c r="CP37" s="1181"/>
      <c r="CQ37" s="1181"/>
      <c r="CR37" s="1181"/>
      <c r="CS37" s="1181"/>
      <c r="CT37" s="1181"/>
      <c r="CU37" s="1181"/>
      <c r="CV37" s="1181"/>
      <c r="CW37" s="1181"/>
      <c r="CX37" s="1181"/>
      <c r="CY37" s="1181"/>
      <c r="CZ37" s="1181"/>
      <c r="DA37" s="1181"/>
      <c r="DB37" s="1181"/>
      <c r="DC37" s="1181"/>
      <c r="DD37" s="1181"/>
      <c r="DE37" s="1181"/>
      <c r="DF37" s="1181"/>
      <c r="DG37" s="1181"/>
      <c r="DH37" s="1181"/>
      <c r="DI37" s="1181"/>
      <c r="DJ37" s="1181"/>
      <c r="DK37" s="1181"/>
      <c r="DL37" s="1181"/>
      <c r="DM37" s="1181"/>
      <c r="DN37" s="1181"/>
      <c r="DO37" s="1181"/>
      <c r="DP37" s="1181"/>
      <c r="DQ37" s="1181"/>
      <c r="DR37" s="1181"/>
      <c r="DS37" s="1181"/>
      <c r="DT37" s="1181"/>
      <c r="DU37" s="1181"/>
      <c r="DV37" s="1181"/>
      <c r="DW37" s="1181"/>
      <c r="DX37" s="1181"/>
      <c r="DY37" s="1181"/>
      <c r="DZ37" s="1181"/>
      <c r="EA37" s="1181"/>
    </row>
    <row r="38" spans="1:131" s="1157" customFormat="1" ht="25.5" customHeight="1">
      <c r="A38" s="1254"/>
      <c r="B38" s="1254"/>
      <c r="C38" s="1254"/>
      <c r="D38" s="1254"/>
      <c r="E38" s="1254"/>
      <c r="F38" s="1254"/>
      <c r="G38" s="1254"/>
      <c r="H38" s="1255"/>
      <c r="I38" s="1255"/>
      <c r="J38" s="1255"/>
      <c r="K38" s="1255"/>
      <c r="L38" s="1171"/>
      <c r="M38" s="1171"/>
      <c r="N38" s="1171"/>
      <c r="O38" s="1171"/>
      <c r="P38" s="1171"/>
      <c r="Q38" s="1171"/>
      <c r="R38" s="1171"/>
      <c r="S38" s="1161"/>
      <c r="T38" s="1161"/>
      <c r="U38" s="1161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</row>
    <row r="39" spans="1:131" s="1157" customFormat="1" ht="24.75" customHeight="1">
      <c r="A39" s="1173"/>
      <c r="B39" s="1174"/>
      <c r="C39" s="1174"/>
      <c r="D39" s="1175"/>
      <c r="E39" s="1176"/>
      <c r="F39" s="1177"/>
      <c r="G39" s="1177"/>
      <c r="H39" s="1177"/>
      <c r="I39" s="1177"/>
      <c r="J39" s="1176"/>
      <c r="K39" s="1176"/>
      <c r="L39" s="1176"/>
      <c r="M39" s="1176"/>
      <c r="N39" s="1176"/>
      <c r="O39" s="1176"/>
      <c r="P39" s="1176"/>
      <c r="Q39" s="1176"/>
      <c r="R39" s="1176"/>
      <c r="S39" s="1176"/>
      <c r="T39" s="1176"/>
      <c r="U39" s="1176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</row>
    <row r="43" spans="1:131" ht="20.25">
      <c r="A43" s="1169"/>
    </row>
    <row r="44" spans="1:131" ht="20.25">
      <c r="A44" s="1169"/>
    </row>
  </sheetData>
  <mergeCells count="34">
    <mergeCell ref="A1:U1"/>
    <mergeCell ref="T2:U2"/>
    <mergeCell ref="A4:U4"/>
    <mergeCell ref="A6:A11"/>
    <mergeCell ref="B6:B11"/>
    <mergeCell ref="C6:C11"/>
    <mergeCell ref="D6:D10"/>
    <mergeCell ref="E6:E10"/>
    <mergeCell ref="F6:I7"/>
    <mergeCell ref="J6:U6"/>
    <mergeCell ref="J7:M7"/>
    <mergeCell ref="N7:Q7"/>
    <mergeCell ref="R7:U7"/>
    <mergeCell ref="F8:F10"/>
    <mergeCell ref="G8:G10"/>
    <mergeCell ref="H8:H10"/>
    <mergeCell ref="I8:I10"/>
    <mergeCell ref="J8:J10"/>
    <mergeCell ref="K8:K10"/>
    <mergeCell ref="L8:L10"/>
    <mergeCell ref="A20:A23"/>
    <mergeCell ref="A25:U25"/>
    <mergeCell ref="S8:S10"/>
    <mergeCell ref="T8:T10"/>
    <mergeCell ref="U8:U10"/>
    <mergeCell ref="A12:A15"/>
    <mergeCell ref="A16:A19"/>
    <mergeCell ref="C16:C19"/>
    <mergeCell ref="M8:M10"/>
    <mergeCell ref="N8:N10"/>
    <mergeCell ref="O8:O10"/>
    <mergeCell ref="P8:P10"/>
    <mergeCell ref="Q8:Q10"/>
    <mergeCell ref="R8:R10"/>
  </mergeCells>
  <printOptions horizontalCentered="1"/>
  <pageMargins left="0.39370078740157483" right="0.39370078740157483" top="0.98425196850393704" bottom="0.78740157480314965" header="0.78740157480314965" footer="0.39370078740157483"/>
  <pageSetup paperSize="9" scale="33" orientation="landscape" r:id="rId1"/>
  <headerFooter>
    <oddHeader xml:space="preserve">&amp;R&amp;"Arial CE,Tučné"&amp;22Tabulka č. 9/c
</oddHeader>
    <oddFooter xml:space="preserve">&amp;C&amp;20
&amp;P+28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EA44"/>
  <sheetViews>
    <sheetView showGridLines="0" zoomScale="53" zoomScaleNormal="53" workbookViewId="0">
      <selection activeCell="A6" sqref="A6:A11"/>
    </sheetView>
  </sheetViews>
  <sheetFormatPr defaultColWidth="9.140625" defaultRowHeight="15"/>
  <cols>
    <col min="1" max="1" width="59.5703125" style="29" customWidth="1"/>
    <col min="2" max="2" width="35.5703125" style="29" customWidth="1"/>
    <col min="3" max="3" width="17.85546875" style="29" customWidth="1"/>
    <col min="4" max="4" width="16.5703125" style="29" customWidth="1"/>
    <col min="5" max="5" width="15.5703125" style="29" customWidth="1"/>
    <col min="6" max="6" width="22.7109375" style="29" customWidth="1"/>
    <col min="7" max="7" width="16.28515625" style="29" customWidth="1"/>
    <col min="8" max="8" width="19.28515625" style="29" customWidth="1"/>
    <col min="9" max="9" width="14.5703125" style="29" customWidth="1"/>
    <col min="10" max="10" width="16.140625" style="29" customWidth="1"/>
    <col min="11" max="11" width="15.140625" style="29" customWidth="1"/>
    <col min="12" max="12" width="19.28515625" style="29" customWidth="1"/>
    <col min="13" max="13" width="18.42578125" style="29" customWidth="1"/>
    <col min="14" max="14" width="16" style="29" customWidth="1"/>
    <col min="15" max="15" width="16.85546875" style="29" bestFit="1" customWidth="1"/>
    <col min="16" max="16" width="19.28515625" style="29" customWidth="1"/>
    <col min="17" max="17" width="21" style="29" customWidth="1"/>
    <col min="18" max="18" width="16.140625" style="29" customWidth="1"/>
    <col min="19" max="19" width="14.42578125" style="29" customWidth="1"/>
    <col min="20" max="20" width="19.28515625" style="29" customWidth="1"/>
    <col min="21" max="21" width="20.42578125" style="29" customWidth="1"/>
    <col min="22" max="22" width="13.5703125" style="32" bestFit="1" customWidth="1"/>
    <col min="23" max="131" width="9.140625" style="32" customWidth="1"/>
    <col min="132" max="16384" width="9.140625" style="29"/>
  </cols>
  <sheetData>
    <row r="1" spans="1:131" ht="20.100000000000001" customHeight="1">
      <c r="A1" s="1583"/>
      <c r="B1" s="1583"/>
      <c r="C1" s="1583"/>
      <c r="D1" s="1583"/>
      <c r="E1" s="1583"/>
      <c r="F1" s="1583"/>
      <c r="G1" s="1583"/>
      <c r="H1" s="1583"/>
      <c r="I1" s="1583"/>
      <c r="J1" s="1583"/>
      <c r="K1" s="1583"/>
      <c r="L1" s="1583"/>
      <c r="M1" s="1583"/>
      <c r="N1" s="1583"/>
      <c r="O1" s="1583"/>
      <c r="P1" s="1583"/>
      <c r="Q1" s="1583"/>
      <c r="R1" s="1583"/>
      <c r="S1" s="1583"/>
      <c r="T1" s="1583"/>
      <c r="U1" s="1583"/>
    </row>
    <row r="2" spans="1:131" ht="27.75" customHeight="1">
      <c r="A2" s="1288" t="s">
        <v>821</v>
      </c>
      <c r="B2" s="1136"/>
      <c r="C2" s="1136"/>
      <c r="D2" s="1136"/>
      <c r="E2" s="1136"/>
      <c r="F2" s="1136"/>
      <c r="G2" s="1136"/>
      <c r="H2" s="1136"/>
      <c r="I2" s="1136"/>
      <c r="J2" s="1136"/>
      <c r="K2" s="1136"/>
      <c r="L2" s="1136"/>
      <c r="M2" s="1136"/>
      <c r="N2" s="1136"/>
      <c r="O2" s="1136"/>
      <c r="P2" s="1136"/>
      <c r="Q2" s="1136"/>
      <c r="R2" s="1136"/>
      <c r="S2" s="1136"/>
      <c r="T2" s="1548"/>
      <c r="U2" s="1548"/>
    </row>
    <row r="3" spans="1:131" ht="42" customHeight="1">
      <c r="A3" s="1282" t="s">
        <v>827</v>
      </c>
      <c r="B3" s="1136"/>
      <c r="C3" s="1136"/>
      <c r="D3" s="1136"/>
      <c r="E3" s="1136"/>
      <c r="F3" s="1136"/>
      <c r="G3" s="1136"/>
      <c r="H3" s="1136"/>
      <c r="I3" s="1136"/>
      <c r="J3" s="1136"/>
      <c r="K3" s="1136"/>
      <c r="L3" s="1136"/>
      <c r="M3" s="1136"/>
      <c r="N3" s="1136"/>
      <c r="O3" s="1136"/>
      <c r="P3" s="1136"/>
      <c r="Q3" s="1136"/>
      <c r="R3" s="1136"/>
      <c r="S3" s="1136"/>
      <c r="T3" s="1219"/>
      <c r="U3" s="1219"/>
    </row>
    <row r="4" spans="1:131" ht="58.5" customHeight="1">
      <c r="A4" s="1549" t="s">
        <v>818</v>
      </c>
      <c r="B4" s="1549"/>
      <c r="C4" s="1549"/>
      <c r="D4" s="1549"/>
      <c r="E4" s="1549"/>
      <c r="F4" s="1549"/>
      <c r="G4" s="1549"/>
      <c r="H4" s="1549"/>
      <c r="I4" s="1549"/>
      <c r="J4" s="1549"/>
      <c r="K4" s="1549"/>
      <c r="L4" s="1549"/>
      <c r="M4" s="1549"/>
      <c r="N4" s="1549"/>
      <c r="O4" s="1549"/>
      <c r="P4" s="1549"/>
      <c r="Q4" s="1549"/>
      <c r="R4" s="1549"/>
      <c r="S4" s="1549"/>
      <c r="T4" s="1549"/>
      <c r="U4" s="1549"/>
    </row>
    <row r="5" spans="1:131" ht="44.25" customHeight="1" thickBot="1">
      <c r="A5" s="1138"/>
      <c r="B5" s="1138"/>
      <c r="C5" s="1138"/>
      <c r="D5" s="1138"/>
      <c r="E5" s="1138"/>
      <c r="F5" s="1138"/>
      <c r="G5" s="1138"/>
      <c r="H5" s="1138"/>
      <c r="I5" s="1138"/>
      <c r="J5" s="1138"/>
      <c r="K5" s="1138"/>
      <c r="L5" s="1138"/>
      <c r="M5" s="1138"/>
      <c r="N5" s="1138"/>
      <c r="O5" s="1138"/>
      <c r="P5" s="1138"/>
      <c r="Q5" s="1138"/>
      <c r="R5" s="1138"/>
      <c r="S5" s="1138"/>
      <c r="T5" s="1138"/>
      <c r="U5" s="1138"/>
    </row>
    <row r="6" spans="1:131" ht="45.75" customHeight="1">
      <c r="A6" s="1550"/>
      <c r="B6" s="1553" t="s">
        <v>782</v>
      </c>
      <c r="C6" s="1553" t="s">
        <v>783</v>
      </c>
      <c r="D6" s="1553" t="s">
        <v>784</v>
      </c>
      <c r="E6" s="1553" t="s">
        <v>785</v>
      </c>
      <c r="F6" s="1585" t="s">
        <v>786</v>
      </c>
      <c r="G6" s="1586"/>
      <c r="H6" s="1586"/>
      <c r="I6" s="1586"/>
      <c r="J6" s="1589" t="s">
        <v>787</v>
      </c>
      <c r="K6" s="1590"/>
      <c r="L6" s="1590"/>
      <c r="M6" s="1590"/>
      <c r="N6" s="1590"/>
      <c r="O6" s="1590"/>
      <c r="P6" s="1590"/>
      <c r="Q6" s="1590"/>
      <c r="R6" s="1590"/>
      <c r="S6" s="1590"/>
      <c r="T6" s="1590"/>
      <c r="U6" s="1591"/>
    </row>
    <row r="7" spans="1:131" ht="51.75" customHeight="1">
      <c r="A7" s="1551"/>
      <c r="B7" s="1554"/>
      <c r="C7" s="1554"/>
      <c r="D7" s="1554"/>
      <c r="E7" s="1554"/>
      <c r="F7" s="1587"/>
      <c r="G7" s="1588"/>
      <c r="H7" s="1588"/>
      <c r="I7" s="1588"/>
      <c r="J7" s="1580" t="s">
        <v>788</v>
      </c>
      <c r="K7" s="1581"/>
      <c r="L7" s="1581"/>
      <c r="M7" s="1582"/>
      <c r="N7" s="1580" t="s">
        <v>789</v>
      </c>
      <c r="O7" s="1581"/>
      <c r="P7" s="1581"/>
      <c r="Q7" s="1582"/>
      <c r="R7" s="1581" t="s">
        <v>17</v>
      </c>
      <c r="S7" s="1581"/>
      <c r="T7" s="1581"/>
      <c r="U7" s="1582"/>
    </row>
    <row r="8" spans="1:131" ht="21" customHeight="1">
      <c r="A8" s="1551"/>
      <c r="B8" s="1554"/>
      <c r="C8" s="1554"/>
      <c r="D8" s="1554"/>
      <c r="E8" s="1554"/>
      <c r="F8" s="1567" t="s">
        <v>790</v>
      </c>
      <c r="G8" s="1567" t="s">
        <v>791</v>
      </c>
      <c r="H8" s="1567" t="s">
        <v>792</v>
      </c>
      <c r="I8" s="1527" t="s">
        <v>17</v>
      </c>
      <c r="J8" s="1530" t="s">
        <v>793</v>
      </c>
      <c r="K8" s="1533" t="s">
        <v>794</v>
      </c>
      <c r="L8" s="1533" t="s">
        <v>795</v>
      </c>
      <c r="M8" s="1537" t="s">
        <v>17</v>
      </c>
      <c r="N8" s="1530" t="s">
        <v>793</v>
      </c>
      <c r="O8" s="1533" t="s">
        <v>794</v>
      </c>
      <c r="P8" s="1533" t="s">
        <v>795</v>
      </c>
      <c r="Q8" s="1537" t="s">
        <v>17</v>
      </c>
      <c r="R8" s="1524" t="s">
        <v>793</v>
      </c>
      <c r="S8" s="1533" t="s">
        <v>794</v>
      </c>
      <c r="T8" s="1533" t="s">
        <v>795</v>
      </c>
      <c r="U8" s="1537" t="s">
        <v>17</v>
      </c>
    </row>
    <row r="9" spans="1:131" ht="12.75" customHeight="1">
      <c r="A9" s="1551"/>
      <c r="B9" s="1554"/>
      <c r="C9" s="1554"/>
      <c r="D9" s="1554"/>
      <c r="E9" s="1554"/>
      <c r="F9" s="1554"/>
      <c r="G9" s="1554"/>
      <c r="H9" s="1554"/>
      <c r="I9" s="1528"/>
      <c r="J9" s="1531"/>
      <c r="K9" s="1534"/>
      <c r="L9" s="1534"/>
      <c r="M9" s="1538"/>
      <c r="N9" s="1531"/>
      <c r="O9" s="1534"/>
      <c r="P9" s="1534"/>
      <c r="Q9" s="1538"/>
      <c r="R9" s="1525"/>
      <c r="S9" s="1534"/>
      <c r="T9" s="1534"/>
      <c r="U9" s="1538"/>
    </row>
    <row r="10" spans="1:131" ht="134.25" customHeight="1">
      <c r="A10" s="1551"/>
      <c r="B10" s="1554"/>
      <c r="C10" s="1554"/>
      <c r="D10" s="1556"/>
      <c r="E10" s="1556"/>
      <c r="F10" s="1556"/>
      <c r="G10" s="1556"/>
      <c r="H10" s="1556"/>
      <c r="I10" s="1529"/>
      <c r="J10" s="1532"/>
      <c r="K10" s="1535"/>
      <c r="L10" s="1535"/>
      <c r="M10" s="1539"/>
      <c r="N10" s="1532"/>
      <c r="O10" s="1535"/>
      <c r="P10" s="1535"/>
      <c r="Q10" s="1539"/>
      <c r="R10" s="1526"/>
      <c r="S10" s="1535"/>
      <c r="T10" s="1535"/>
      <c r="U10" s="1539"/>
    </row>
    <row r="11" spans="1:131" s="1149" customFormat="1" ht="44.25" customHeight="1" thickBot="1">
      <c r="A11" s="1552"/>
      <c r="B11" s="1555"/>
      <c r="C11" s="1555"/>
      <c r="D11" s="1139">
        <v>1</v>
      </c>
      <c r="E11" s="1139">
        <v>2</v>
      </c>
      <c r="F11" s="1140">
        <v>3</v>
      </c>
      <c r="G11" s="1140">
        <v>4</v>
      </c>
      <c r="H11" s="1140">
        <v>5</v>
      </c>
      <c r="I11" s="1141" t="s">
        <v>796</v>
      </c>
      <c r="J11" s="1142">
        <v>7</v>
      </c>
      <c r="K11" s="1143">
        <v>8</v>
      </c>
      <c r="L11" s="1144">
        <v>9</v>
      </c>
      <c r="M11" s="1145" t="s">
        <v>797</v>
      </c>
      <c r="N11" s="1142">
        <v>11</v>
      </c>
      <c r="O11" s="1146">
        <v>12</v>
      </c>
      <c r="P11" s="1147">
        <v>13</v>
      </c>
      <c r="Q11" s="1145" t="s">
        <v>798</v>
      </c>
      <c r="R11" s="1143">
        <v>15</v>
      </c>
      <c r="S11" s="1143">
        <v>16</v>
      </c>
      <c r="T11" s="1144">
        <v>17</v>
      </c>
      <c r="U11" s="1145" t="s">
        <v>799</v>
      </c>
      <c r="V11" s="1148"/>
      <c r="W11" s="1148"/>
      <c r="X11" s="1148"/>
      <c r="Y11" s="1148"/>
      <c r="Z11" s="1148"/>
      <c r="AA11" s="1148"/>
      <c r="AB11" s="1148"/>
      <c r="AC11" s="1148"/>
      <c r="AD11" s="1148"/>
      <c r="AE11" s="1148"/>
      <c r="AF11" s="1148"/>
      <c r="AG11" s="1148"/>
      <c r="AH11" s="1148"/>
      <c r="AI11" s="1148"/>
      <c r="AJ11" s="1148"/>
      <c r="AK11" s="1148"/>
      <c r="AL11" s="1148"/>
      <c r="AM11" s="1148"/>
      <c r="AN11" s="1148"/>
      <c r="AO11" s="1148"/>
      <c r="AP11" s="1148"/>
      <c r="AQ11" s="1148"/>
      <c r="AR11" s="1148"/>
      <c r="AS11" s="1148"/>
      <c r="AT11" s="1148"/>
      <c r="AU11" s="1148"/>
      <c r="AV11" s="1148"/>
      <c r="AW11" s="1148"/>
      <c r="AX11" s="1148"/>
      <c r="AY11" s="1148"/>
      <c r="AZ11" s="1148"/>
      <c r="BA11" s="1148"/>
      <c r="BB11" s="1148"/>
      <c r="BC11" s="1148"/>
      <c r="BD11" s="1148"/>
      <c r="BE11" s="1148"/>
      <c r="BF11" s="1148"/>
      <c r="BG11" s="1148"/>
      <c r="BH11" s="1148"/>
      <c r="BI11" s="1148"/>
      <c r="BJ11" s="1148"/>
      <c r="BK11" s="1148"/>
      <c r="BL11" s="1148"/>
      <c r="BM11" s="1148"/>
      <c r="BN11" s="1148"/>
      <c r="BO11" s="1148"/>
      <c r="BP11" s="1148"/>
      <c r="BQ11" s="1148"/>
      <c r="BR11" s="1148"/>
      <c r="BS11" s="1148"/>
      <c r="BT11" s="1148"/>
      <c r="BU11" s="1148"/>
      <c r="BV11" s="1148"/>
      <c r="BW11" s="1148"/>
      <c r="BX11" s="1148"/>
      <c r="BY11" s="1148"/>
      <c r="BZ11" s="1148"/>
      <c r="CA11" s="1148"/>
      <c r="CB11" s="1148"/>
      <c r="CC11" s="1148"/>
      <c r="CD11" s="1148"/>
      <c r="CE11" s="1148"/>
      <c r="CF11" s="1148"/>
      <c r="CG11" s="1148"/>
      <c r="CH11" s="1148"/>
      <c r="CI11" s="1148"/>
      <c r="CJ11" s="1148"/>
      <c r="CK11" s="1148"/>
      <c r="CL11" s="1148"/>
      <c r="CM11" s="1148"/>
      <c r="CN11" s="1148"/>
      <c r="CO11" s="1148"/>
      <c r="CP11" s="1148"/>
      <c r="CQ11" s="1148"/>
      <c r="CR11" s="1148"/>
      <c r="CS11" s="1148"/>
      <c r="CT11" s="1148"/>
      <c r="CU11" s="1148"/>
      <c r="CV11" s="1148"/>
      <c r="CW11" s="1148"/>
      <c r="CX11" s="1148"/>
      <c r="CY11" s="1148"/>
      <c r="CZ11" s="1148"/>
      <c r="DA11" s="1148"/>
      <c r="DB11" s="1148"/>
      <c r="DC11" s="1148"/>
      <c r="DD11" s="1148"/>
      <c r="DE11" s="1148"/>
      <c r="DF11" s="1148"/>
      <c r="DG11" s="1148"/>
      <c r="DH11" s="1148"/>
      <c r="DI11" s="1148"/>
      <c r="DJ11" s="1148"/>
      <c r="DK11" s="1148"/>
      <c r="DL11" s="1148"/>
      <c r="DM11" s="1148"/>
      <c r="DN11" s="1148"/>
      <c r="DO11" s="1148"/>
      <c r="DP11" s="1148"/>
      <c r="DQ11" s="1148"/>
      <c r="DR11" s="1148"/>
      <c r="DS11" s="1148"/>
      <c r="DT11" s="1148"/>
      <c r="DU11" s="1148"/>
      <c r="DV11" s="1148"/>
      <c r="DW11" s="1148"/>
      <c r="DX11" s="1148"/>
      <c r="DY11" s="1148"/>
      <c r="DZ11" s="1148"/>
      <c r="EA11" s="1148"/>
    </row>
    <row r="12" spans="1:131" s="1149" customFormat="1" ht="35.1" customHeight="1">
      <c r="A12" s="1568" t="s">
        <v>823</v>
      </c>
      <c r="B12" s="1220" t="s">
        <v>52</v>
      </c>
      <c r="C12" s="1256"/>
      <c r="D12" s="1221"/>
      <c r="E12" s="1222"/>
      <c r="F12" s="1222"/>
      <c r="G12" s="1223"/>
      <c r="H12" s="1223"/>
      <c r="I12" s="1224"/>
      <c r="J12" s="1221"/>
      <c r="K12" s="1257"/>
      <c r="L12" s="1257"/>
      <c r="M12" s="1258"/>
      <c r="N12" s="1221"/>
      <c r="O12" s="1257"/>
      <c r="P12" s="1257"/>
      <c r="Q12" s="1258"/>
      <c r="R12" s="1221"/>
      <c r="S12" s="1257"/>
      <c r="T12" s="1257"/>
      <c r="U12" s="1258"/>
      <c r="V12" s="1148"/>
      <c r="W12" s="1148"/>
      <c r="X12" s="1148"/>
      <c r="Y12" s="1148"/>
      <c r="Z12" s="1148"/>
      <c r="AA12" s="1148"/>
      <c r="AB12" s="1148"/>
      <c r="AC12" s="1148"/>
      <c r="AD12" s="1148"/>
      <c r="AE12" s="1148"/>
      <c r="AF12" s="1148"/>
      <c r="AG12" s="1148"/>
      <c r="AH12" s="1148"/>
      <c r="AI12" s="1148"/>
      <c r="AJ12" s="1148"/>
      <c r="AK12" s="1148"/>
      <c r="AL12" s="1148"/>
      <c r="AM12" s="1148"/>
      <c r="AN12" s="1148"/>
      <c r="AO12" s="1148"/>
      <c r="AP12" s="1148"/>
      <c r="AQ12" s="1148"/>
      <c r="AR12" s="1148"/>
      <c r="AS12" s="1148"/>
      <c r="AT12" s="1148"/>
      <c r="AU12" s="1148"/>
      <c r="AV12" s="1148"/>
      <c r="AW12" s="1148"/>
      <c r="AX12" s="1148"/>
      <c r="AY12" s="1148"/>
      <c r="AZ12" s="1148"/>
      <c r="BA12" s="1148"/>
      <c r="BB12" s="1148"/>
      <c r="BC12" s="1148"/>
      <c r="BD12" s="1148"/>
      <c r="BE12" s="1148"/>
      <c r="BF12" s="1148"/>
      <c r="BG12" s="1148"/>
      <c r="BH12" s="1148"/>
      <c r="BI12" s="1148"/>
      <c r="BJ12" s="1148"/>
      <c r="BK12" s="1148"/>
      <c r="BL12" s="1148"/>
      <c r="BM12" s="1148"/>
      <c r="BN12" s="1148"/>
      <c r="BO12" s="1148"/>
      <c r="BP12" s="1148"/>
      <c r="BQ12" s="1148"/>
      <c r="BR12" s="1148"/>
      <c r="BS12" s="1148"/>
      <c r="BT12" s="1148"/>
      <c r="BU12" s="1148"/>
      <c r="BV12" s="1148"/>
      <c r="BW12" s="1148"/>
      <c r="BX12" s="1148"/>
      <c r="BY12" s="1148"/>
      <c r="BZ12" s="1148"/>
      <c r="CA12" s="1148"/>
      <c r="CB12" s="1148"/>
      <c r="CC12" s="1148"/>
      <c r="CD12" s="1148"/>
      <c r="CE12" s="1148"/>
      <c r="CF12" s="1148"/>
      <c r="CG12" s="1148"/>
      <c r="CH12" s="1148"/>
      <c r="CI12" s="1148"/>
      <c r="CJ12" s="1148"/>
      <c r="CK12" s="1148"/>
      <c r="CL12" s="1148"/>
      <c r="CM12" s="1148"/>
      <c r="CN12" s="1148"/>
      <c r="CO12" s="1148"/>
      <c r="CP12" s="1148"/>
      <c r="CQ12" s="1148"/>
      <c r="CR12" s="1148"/>
      <c r="CS12" s="1148"/>
      <c r="CT12" s="1148"/>
      <c r="CU12" s="1148"/>
      <c r="CV12" s="1148"/>
      <c r="CW12" s="1148"/>
      <c r="CX12" s="1148"/>
      <c r="CY12" s="1148"/>
      <c r="CZ12" s="1148"/>
      <c r="DA12" s="1148"/>
      <c r="DB12" s="1148"/>
      <c r="DC12" s="1148"/>
      <c r="DD12" s="1148"/>
      <c r="DE12" s="1148"/>
      <c r="DF12" s="1148"/>
      <c r="DG12" s="1148"/>
      <c r="DH12" s="1148"/>
      <c r="DI12" s="1148"/>
      <c r="DJ12" s="1148"/>
      <c r="DK12" s="1148"/>
      <c r="DL12" s="1148"/>
      <c r="DM12" s="1148"/>
      <c r="DN12" s="1148"/>
      <c r="DO12" s="1148"/>
      <c r="DP12" s="1148"/>
      <c r="DQ12" s="1148"/>
      <c r="DR12" s="1148"/>
      <c r="DS12" s="1148"/>
      <c r="DT12" s="1148"/>
      <c r="DU12" s="1148"/>
      <c r="DV12" s="1148"/>
      <c r="DW12" s="1148"/>
      <c r="DX12" s="1148"/>
      <c r="DY12" s="1148"/>
      <c r="DZ12" s="1148"/>
      <c r="EA12" s="1148"/>
    </row>
    <row r="13" spans="1:131" s="1149" customFormat="1" ht="35.1" customHeight="1">
      <c r="A13" s="1569"/>
      <c r="B13" s="1228" t="s">
        <v>800</v>
      </c>
      <c r="C13" s="1259"/>
      <c r="D13" s="1229"/>
      <c r="E13" s="1230"/>
      <c r="F13" s="1230"/>
      <c r="G13" s="1231"/>
      <c r="H13" s="1231"/>
      <c r="I13" s="1232"/>
      <c r="J13" s="1229"/>
      <c r="K13" s="1260"/>
      <c r="L13" s="1260"/>
      <c r="M13" s="1261"/>
      <c r="N13" s="1229"/>
      <c r="O13" s="1260"/>
      <c r="P13" s="1260"/>
      <c r="Q13" s="1261"/>
      <c r="R13" s="1229"/>
      <c r="S13" s="1260"/>
      <c r="T13" s="1260"/>
      <c r="U13" s="1261"/>
      <c r="V13" s="1148"/>
      <c r="W13" s="1148"/>
      <c r="X13" s="1148"/>
      <c r="Y13" s="1148"/>
      <c r="Z13" s="1148"/>
      <c r="AA13" s="1148"/>
      <c r="AB13" s="1148"/>
      <c r="AC13" s="1148"/>
      <c r="AD13" s="1148"/>
      <c r="AE13" s="1148"/>
      <c r="AF13" s="1148"/>
      <c r="AG13" s="1148"/>
      <c r="AH13" s="1148"/>
      <c r="AI13" s="1148"/>
      <c r="AJ13" s="1148"/>
      <c r="AK13" s="1148"/>
      <c r="AL13" s="1148"/>
      <c r="AM13" s="1148"/>
      <c r="AN13" s="1148"/>
      <c r="AO13" s="1148"/>
      <c r="AP13" s="1148"/>
      <c r="AQ13" s="1148"/>
      <c r="AR13" s="1148"/>
      <c r="AS13" s="1148"/>
      <c r="AT13" s="1148"/>
      <c r="AU13" s="1148"/>
      <c r="AV13" s="1148"/>
      <c r="AW13" s="1148"/>
      <c r="AX13" s="1148"/>
      <c r="AY13" s="1148"/>
      <c r="AZ13" s="1148"/>
      <c r="BA13" s="1148"/>
      <c r="BB13" s="1148"/>
      <c r="BC13" s="1148"/>
      <c r="BD13" s="1148"/>
      <c r="BE13" s="1148"/>
      <c r="BF13" s="1148"/>
      <c r="BG13" s="1148"/>
      <c r="BH13" s="1148"/>
      <c r="BI13" s="1148"/>
      <c r="BJ13" s="1148"/>
      <c r="BK13" s="1148"/>
      <c r="BL13" s="1148"/>
      <c r="BM13" s="1148"/>
      <c r="BN13" s="1148"/>
      <c r="BO13" s="1148"/>
      <c r="BP13" s="1148"/>
      <c r="BQ13" s="1148"/>
      <c r="BR13" s="1148"/>
      <c r="BS13" s="1148"/>
      <c r="BT13" s="1148"/>
      <c r="BU13" s="1148"/>
      <c r="BV13" s="1148"/>
      <c r="BW13" s="1148"/>
      <c r="BX13" s="1148"/>
      <c r="BY13" s="1148"/>
      <c r="BZ13" s="1148"/>
      <c r="CA13" s="1148"/>
      <c r="CB13" s="1148"/>
      <c r="CC13" s="1148"/>
      <c r="CD13" s="1148"/>
      <c r="CE13" s="1148"/>
      <c r="CF13" s="1148"/>
      <c r="CG13" s="1148"/>
      <c r="CH13" s="1148"/>
      <c r="CI13" s="1148"/>
      <c r="CJ13" s="1148"/>
      <c r="CK13" s="1148"/>
      <c r="CL13" s="1148"/>
      <c r="CM13" s="1148"/>
      <c r="CN13" s="1148"/>
      <c r="CO13" s="1148"/>
      <c r="CP13" s="1148"/>
      <c r="CQ13" s="1148"/>
      <c r="CR13" s="1148"/>
      <c r="CS13" s="1148"/>
      <c r="CT13" s="1148"/>
      <c r="CU13" s="1148"/>
      <c r="CV13" s="1148"/>
      <c r="CW13" s="1148"/>
      <c r="CX13" s="1148"/>
      <c r="CY13" s="1148"/>
      <c r="CZ13" s="1148"/>
      <c r="DA13" s="1148"/>
      <c r="DB13" s="1148"/>
      <c r="DC13" s="1148"/>
      <c r="DD13" s="1148"/>
      <c r="DE13" s="1148"/>
      <c r="DF13" s="1148"/>
      <c r="DG13" s="1148"/>
      <c r="DH13" s="1148"/>
      <c r="DI13" s="1148"/>
      <c r="DJ13" s="1148"/>
      <c r="DK13" s="1148"/>
      <c r="DL13" s="1148"/>
      <c r="DM13" s="1148"/>
      <c r="DN13" s="1148"/>
      <c r="DO13" s="1148"/>
      <c r="DP13" s="1148"/>
      <c r="DQ13" s="1148"/>
      <c r="DR13" s="1148"/>
      <c r="DS13" s="1148"/>
      <c r="DT13" s="1148"/>
      <c r="DU13" s="1148"/>
      <c r="DV13" s="1148"/>
      <c r="DW13" s="1148"/>
      <c r="DX13" s="1148"/>
      <c r="DY13" s="1148"/>
      <c r="DZ13" s="1148"/>
      <c r="EA13" s="1148"/>
    </row>
    <row r="14" spans="1:131" s="1149" customFormat="1" ht="35.1" customHeight="1">
      <c r="A14" s="1569"/>
      <c r="B14" s="1228" t="s">
        <v>801</v>
      </c>
      <c r="C14" s="1259"/>
      <c r="D14" s="1229"/>
      <c r="E14" s="1229"/>
      <c r="F14" s="1229"/>
      <c r="G14" s="1231"/>
      <c r="H14" s="1260"/>
      <c r="I14" s="1261"/>
      <c r="J14" s="1229"/>
      <c r="K14" s="1260"/>
      <c r="L14" s="1260"/>
      <c r="M14" s="1261"/>
      <c r="N14" s="1229"/>
      <c r="O14" s="1260"/>
      <c r="P14" s="1260"/>
      <c r="Q14" s="1261"/>
      <c r="R14" s="1229"/>
      <c r="S14" s="1260"/>
      <c r="T14" s="1260"/>
      <c r="U14" s="1261"/>
      <c r="V14" s="1148"/>
      <c r="W14" s="1148"/>
      <c r="X14" s="1148"/>
      <c r="Y14" s="1148"/>
      <c r="Z14" s="1148"/>
      <c r="AA14" s="1148"/>
      <c r="AB14" s="1148"/>
      <c r="AC14" s="1148"/>
      <c r="AD14" s="1148"/>
      <c r="AE14" s="1148"/>
      <c r="AF14" s="1148"/>
      <c r="AG14" s="1148"/>
      <c r="AH14" s="1148"/>
      <c r="AI14" s="1148"/>
      <c r="AJ14" s="1148"/>
      <c r="AK14" s="1148"/>
      <c r="AL14" s="1148"/>
      <c r="AM14" s="1148"/>
      <c r="AN14" s="1148"/>
      <c r="AO14" s="1148"/>
      <c r="AP14" s="1148"/>
      <c r="AQ14" s="1148"/>
      <c r="AR14" s="1148"/>
      <c r="AS14" s="1148"/>
      <c r="AT14" s="1148"/>
      <c r="AU14" s="1148"/>
      <c r="AV14" s="1148"/>
      <c r="AW14" s="1148"/>
      <c r="AX14" s="1148"/>
      <c r="AY14" s="1148"/>
      <c r="AZ14" s="1148"/>
      <c r="BA14" s="1148"/>
      <c r="BB14" s="1148"/>
      <c r="BC14" s="1148"/>
      <c r="BD14" s="1148"/>
      <c r="BE14" s="1148"/>
      <c r="BF14" s="1148"/>
      <c r="BG14" s="1148"/>
      <c r="BH14" s="1148"/>
      <c r="BI14" s="1148"/>
      <c r="BJ14" s="1148"/>
      <c r="BK14" s="1148"/>
      <c r="BL14" s="1148"/>
      <c r="BM14" s="1148"/>
      <c r="BN14" s="1148"/>
      <c r="BO14" s="1148"/>
      <c r="BP14" s="1148"/>
      <c r="BQ14" s="1148"/>
      <c r="BR14" s="1148"/>
      <c r="BS14" s="1148"/>
      <c r="BT14" s="1148"/>
      <c r="BU14" s="1148"/>
      <c r="BV14" s="1148"/>
      <c r="BW14" s="1148"/>
      <c r="BX14" s="1148"/>
      <c r="BY14" s="1148"/>
      <c r="BZ14" s="1148"/>
      <c r="CA14" s="1148"/>
      <c r="CB14" s="1148"/>
      <c r="CC14" s="1148"/>
      <c r="CD14" s="1148"/>
      <c r="CE14" s="1148"/>
      <c r="CF14" s="1148"/>
      <c r="CG14" s="1148"/>
      <c r="CH14" s="1148"/>
      <c r="CI14" s="1148"/>
      <c r="CJ14" s="1148"/>
      <c r="CK14" s="1148"/>
      <c r="CL14" s="1148"/>
      <c r="CM14" s="1148"/>
      <c r="CN14" s="1148"/>
      <c r="CO14" s="1148"/>
      <c r="CP14" s="1148"/>
      <c r="CQ14" s="1148"/>
      <c r="CR14" s="1148"/>
      <c r="CS14" s="1148"/>
      <c r="CT14" s="1148"/>
      <c r="CU14" s="1148"/>
      <c r="CV14" s="1148"/>
      <c r="CW14" s="1148"/>
      <c r="CX14" s="1148"/>
      <c r="CY14" s="1148"/>
      <c r="CZ14" s="1148"/>
      <c r="DA14" s="1148"/>
      <c r="DB14" s="1148"/>
      <c r="DC14" s="1148"/>
      <c r="DD14" s="1148"/>
      <c r="DE14" s="1148"/>
      <c r="DF14" s="1148"/>
      <c r="DG14" s="1148"/>
      <c r="DH14" s="1148"/>
      <c r="DI14" s="1148"/>
      <c r="DJ14" s="1148"/>
      <c r="DK14" s="1148"/>
      <c r="DL14" s="1148"/>
      <c r="DM14" s="1148"/>
      <c r="DN14" s="1148"/>
      <c r="DO14" s="1148"/>
      <c r="DP14" s="1148"/>
      <c r="DQ14" s="1148"/>
      <c r="DR14" s="1148"/>
      <c r="DS14" s="1148"/>
      <c r="DT14" s="1148"/>
      <c r="DU14" s="1148"/>
      <c r="DV14" s="1148"/>
      <c r="DW14" s="1148"/>
      <c r="DX14" s="1148"/>
      <c r="DY14" s="1148"/>
      <c r="DZ14" s="1148"/>
      <c r="EA14" s="1148"/>
    </row>
    <row r="15" spans="1:131" s="1149" customFormat="1" ht="35.1" customHeight="1" thickBot="1">
      <c r="A15" s="1576"/>
      <c r="B15" s="1262" t="s">
        <v>802</v>
      </c>
      <c r="C15" s="1263"/>
      <c r="D15" s="1229"/>
      <c r="E15" s="1230"/>
      <c r="F15" s="1230"/>
      <c r="G15" s="1231"/>
      <c r="H15" s="1231"/>
      <c r="I15" s="1232"/>
      <c r="J15" s="1229"/>
      <c r="K15" s="1260"/>
      <c r="L15" s="1260"/>
      <c r="M15" s="1261"/>
      <c r="N15" s="1229"/>
      <c r="O15" s="1260"/>
      <c r="P15" s="1260"/>
      <c r="Q15" s="1261"/>
      <c r="R15" s="1229"/>
      <c r="S15" s="1260"/>
      <c r="T15" s="1260"/>
      <c r="U15" s="1261"/>
      <c r="V15" s="1150"/>
      <c r="W15" s="1150"/>
      <c r="X15" s="1148"/>
      <c r="Y15" s="1148"/>
      <c r="Z15" s="1148"/>
      <c r="AA15" s="1148"/>
      <c r="AB15" s="1148"/>
      <c r="AC15" s="1148"/>
      <c r="AD15" s="1148"/>
      <c r="AE15" s="1148"/>
      <c r="AF15" s="1148"/>
      <c r="AG15" s="1148"/>
      <c r="AH15" s="1148"/>
      <c r="AI15" s="1148"/>
      <c r="AJ15" s="1148"/>
      <c r="AK15" s="1148"/>
      <c r="AL15" s="1148"/>
      <c r="AM15" s="1148"/>
      <c r="AN15" s="1148"/>
      <c r="AO15" s="1148"/>
      <c r="AP15" s="1148"/>
      <c r="AQ15" s="1148"/>
      <c r="AR15" s="1148"/>
      <c r="AS15" s="1148"/>
      <c r="AT15" s="1148"/>
      <c r="AU15" s="1148"/>
      <c r="AV15" s="1148"/>
      <c r="AW15" s="1148"/>
      <c r="AX15" s="1148"/>
      <c r="AY15" s="1148"/>
      <c r="AZ15" s="1148"/>
      <c r="BA15" s="1148"/>
      <c r="BB15" s="1148"/>
      <c r="BC15" s="1148"/>
      <c r="BD15" s="1148"/>
      <c r="BE15" s="1148"/>
      <c r="BF15" s="1148"/>
      <c r="BG15" s="1148"/>
      <c r="BH15" s="1148"/>
      <c r="BI15" s="1148"/>
      <c r="BJ15" s="1148"/>
      <c r="BK15" s="1148"/>
      <c r="BL15" s="1148"/>
      <c r="BM15" s="1148"/>
      <c r="BN15" s="1148"/>
      <c r="BO15" s="1148"/>
      <c r="BP15" s="1148"/>
      <c r="BQ15" s="1148"/>
      <c r="BR15" s="1148"/>
      <c r="BS15" s="1148"/>
      <c r="BT15" s="1148"/>
      <c r="BU15" s="1148"/>
      <c r="BV15" s="1148"/>
      <c r="BW15" s="1148"/>
      <c r="BX15" s="1148"/>
      <c r="BY15" s="1148"/>
      <c r="BZ15" s="1148"/>
      <c r="CA15" s="1148"/>
      <c r="CB15" s="1148"/>
      <c r="CC15" s="1148"/>
      <c r="CD15" s="1148"/>
      <c r="CE15" s="1148"/>
      <c r="CF15" s="1148"/>
      <c r="CG15" s="1148"/>
      <c r="CH15" s="1148"/>
      <c r="CI15" s="1148"/>
      <c r="CJ15" s="1148"/>
      <c r="CK15" s="1148"/>
      <c r="CL15" s="1148"/>
      <c r="CM15" s="1148"/>
      <c r="CN15" s="1148"/>
      <c r="CO15" s="1148"/>
      <c r="CP15" s="1148"/>
      <c r="CQ15" s="1148"/>
      <c r="CR15" s="1148"/>
      <c r="CS15" s="1148"/>
      <c r="CT15" s="1148"/>
      <c r="CU15" s="1148"/>
      <c r="CV15" s="1148"/>
      <c r="CW15" s="1148"/>
      <c r="CX15" s="1148"/>
      <c r="CY15" s="1148"/>
      <c r="CZ15" s="1148"/>
      <c r="DA15" s="1148"/>
      <c r="DB15" s="1148"/>
      <c r="DC15" s="1148"/>
      <c r="DD15" s="1148"/>
      <c r="DE15" s="1148"/>
      <c r="DF15" s="1148"/>
      <c r="DG15" s="1148"/>
      <c r="DH15" s="1148"/>
      <c r="DI15" s="1148"/>
      <c r="DJ15" s="1148"/>
      <c r="DK15" s="1148"/>
      <c r="DL15" s="1148"/>
      <c r="DM15" s="1148"/>
      <c r="DN15" s="1148"/>
      <c r="DO15" s="1148"/>
      <c r="DP15" s="1148"/>
      <c r="DQ15" s="1148"/>
      <c r="DR15" s="1148"/>
      <c r="DS15" s="1148"/>
      <c r="DT15" s="1148"/>
      <c r="DU15" s="1148"/>
      <c r="DV15" s="1148"/>
      <c r="DW15" s="1148"/>
      <c r="DX15" s="1148"/>
      <c r="DY15" s="1148"/>
      <c r="DZ15" s="1148"/>
      <c r="EA15" s="1148"/>
    </row>
    <row r="16" spans="1:131" s="1149" customFormat="1" ht="35.1" customHeight="1">
      <c r="A16" s="1569" t="s">
        <v>824</v>
      </c>
      <c r="B16" s="1264" t="s">
        <v>52</v>
      </c>
      <c r="C16" s="1594">
        <v>12104</v>
      </c>
      <c r="D16" s="1221"/>
      <c r="E16" s="1222">
        <v>0</v>
      </c>
      <c r="F16" s="1222">
        <v>0</v>
      </c>
      <c r="G16" s="1223">
        <v>0</v>
      </c>
      <c r="H16" s="1223">
        <v>0</v>
      </c>
      <c r="I16" s="1224">
        <f>F16+G16+H16</f>
        <v>0</v>
      </c>
      <c r="J16" s="1225">
        <v>0</v>
      </c>
      <c r="K16" s="1226">
        <v>0</v>
      </c>
      <c r="L16" s="1226">
        <v>0</v>
      </c>
      <c r="M16" s="1227">
        <f>J16+K16+L16</f>
        <v>0</v>
      </c>
      <c r="N16" s="1225">
        <v>0</v>
      </c>
      <c r="O16" s="1226">
        <v>0</v>
      </c>
      <c r="P16" s="1226">
        <v>0</v>
      </c>
      <c r="Q16" s="1227">
        <f>N16+O16+P16</f>
        <v>0</v>
      </c>
      <c r="R16" s="1225">
        <f>J16+N16</f>
        <v>0</v>
      </c>
      <c r="S16" s="1226">
        <f t="shared" ref="S16:U19" si="0">K16+O16</f>
        <v>0</v>
      </c>
      <c r="T16" s="1226">
        <f t="shared" si="0"/>
        <v>0</v>
      </c>
      <c r="U16" s="1227">
        <f t="shared" si="0"/>
        <v>0</v>
      </c>
      <c r="V16" s="1148"/>
      <c r="W16" s="1150"/>
      <c r="X16" s="1148"/>
      <c r="Y16" s="1148"/>
      <c r="Z16" s="1148"/>
      <c r="AA16" s="1148"/>
      <c r="AB16" s="1148"/>
      <c r="AC16" s="1148"/>
      <c r="AD16" s="1148"/>
      <c r="AE16" s="1148"/>
      <c r="AF16" s="1148"/>
      <c r="AG16" s="1148"/>
      <c r="AH16" s="1148"/>
      <c r="AI16" s="1148"/>
      <c r="AJ16" s="1148"/>
      <c r="AK16" s="1148"/>
      <c r="AL16" s="1148"/>
      <c r="AM16" s="1148"/>
      <c r="AN16" s="1148"/>
      <c r="AO16" s="1148"/>
      <c r="AP16" s="1148"/>
      <c r="AQ16" s="1148"/>
      <c r="AR16" s="1148"/>
      <c r="AS16" s="1148"/>
      <c r="AT16" s="1148"/>
      <c r="AU16" s="1148"/>
      <c r="AV16" s="1148"/>
      <c r="AW16" s="1148"/>
      <c r="AX16" s="1148"/>
      <c r="AY16" s="1148"/>
      <c r="AZ16" s="1148"/>
      <c r="BA16" s="1148"/>
      <c r="BB16" s="1148"/>
      <c r="BC16" s="1148"/>
      <c r="BD16" s="1148"/>
      <c r="BE16" s="1148"/>
      <c r="BF16" s="1148"/>
      <c r="BG16" s="1148"/>
      <c r="BH16" s="1148"/>
      <c r="BI16" s="1148"/>
      <c r="BJ16" s="1148"/>
      <c r="BK16" s="1148"/>
      <c r="BL16" s="1148"/>
      <c r="BM16" s="1148"/>
      <c r="BN16" s="1148"/>
      <c r="BO16" s="1148"/>
      <c r="BP16" s="1148"/>
      <c r="BQ16" s="1148"/>
      <c r="BR16" s="1148"/>
      <c r="BS16" s="1148"/>
      <c r="BT16" s="1148"/>
      <c r="BU16" s="1148"/>
      <c r="BV16" s="1148"/>
      <c r="BW16" s="1148"/>
      <c r="BX16" s="1148"/>
      <c r="BY16" s="1148"/>
      <c r="BZ16" s="1148"/>
      <c r="CA16" s="1148"/>
      <c r="CB16" s="1148"/>
      <c r="CC16" s="1148"/>
      <c r="CD16" s="1148"/>
      <c r="CE16" s="1148"/>
      <c r="CF16" s="1148"/>
      <c r="CG16" s="1148"/>
      <c r="CH16" s="1148"/>
      <c r="CI16" s="1148"/>
      <c r="CJ16" s="1148"/>
      <c r="CK16" s="1148"/>
      <c r="CL16" s="1148"/>
      <c r="CM16" s="1148"/>
      <c r="CN16" s="1148"/>
      <c r="CO16" s="1148"/>
      <c r="CP16" s="1148"/>
      <c r="CQ16" s="1148"/>
      <c r="CR16" s="1148"/>
      <c r="CS16" s="1148"/>
      <c r="CT16" s="1148"/>
      <c r="CU16" s="1148"/>
      <c r="CV16" s="1148"/>
      <c r="CW16" s="1148"/>
      <c r="CX16" s="1148"/>
      <c r="CY16" s="1148"/>
      <c r="CZ16" s="1148"/>
      <c r="DA16" s="1148"/>
      <c r="DB16" s="1148"/>
      <c r="DC16" s="1148"/>
      <c r="DD16" s="1148"/>
      <c r="DE16" s="1148"/>
      <c r="DF16" s="1148"/>
      <c r="DG16" s="1148"/>
      <c r="DH16" s="1148"/>
      <c r="DI16" s="1148"/>
      <c r="DJ16" s="1148"/>
      <c r="DK16" s="1148"/>
      <c r="DL16" s="1148"/>
      <c r="DM16" s="1148"/>
      <c r="DN16" s="1148"/>
      <c r="DO16" s="1148"/>
      <c r="DP16" s="1148"/>
      <c r="DQ16" s="1148"/>
      <c r="DR16" s="1148"/>
      <c r="DS16" s="1148"/>
      <c r="DT16" s="1148"/>
      <c r="DU16" s="1148"/>
      <c r="DV16" s="1148"/>
      <c r="DW16" s="1148"/>
      <c r="DX16" s="1148"/>
      <c r="DY16" s="1148"/>
      <c r="DZ16" s="1148"/>
      <c r="EA16" s="1148"/>
    </row>
    <row r="17" spans="1:131" s="1149" customFormat="1" ht="35.1" customHeight="1">
      <c r="A17" s="1569"/>
      <c r="B17" s="1228" t="s">
        <v>800</v>
      </c>
      <c r="C17" s="1572"/>
      <c r="D17" s="1229">
        <f>R17/I17/12</f>
        <v>7182.5041666666666</v>
      </c>
      <c r="E17" s="1230">
        <v>0</v>
      </c>
      <c r="F17" s="1230">
        <v>2</v>
      </c>
      <c r="G17" s="1231">
        <v>0</v>
      </c>
      <c r="H17" s="1231">
        <v>0</v>
      </c>
      <c r="I17" s="1232">
        <f t="shared" ref="I17:I19" si="1">F17+G17+H17</f>
        <v>2</v>
      </c>
      <c r="J17" s="1233">
        <v>0</v>
      </c>
      <c r="K17" s="1234">
        <v>0</v>
      </c>
      <c r="L17" s="1234">
        <v>0</v>
      </c>
      <c r="M17" s="1235">
        <f t="shared" ref="M17:M19" si="2">J17+K17+L17</f>
        <v>0</v>
      </c>
      <c r="N17" s="1233">
        <v>172380.1</v>
      </c>
      <c r="O17" s="1234">
        <v>0</v>
      </c>
      <c r="P17" s="1234">
        <v>0</v>
      </c>
      <c r="Q17" s="1235">
        <f t="shared" ref="Q17:Q19" si="3">N17+O17+P17</f>
        <v>172380.1</v>
      </c>
      <c r="R17" s="1233">
        <f t="shared" ref="R17:R19" si="4">J17+N17</f>
        <v>172380.1</v>
      </c>
      <c r="S17" s="1234">
        <f t="shared" si="0"/>
        <v>0</v>
      </c>
      <c r="T17" s="1234">
        <f t="shared" si="0"/>
        <v>0</v>
      </c>
      <c r="U17" s="1235">
        <f t="shared" si="0"/>
        <v>172380.1</v>
      </c>
      <c r="V17" s="1148"/>
      <c r="W17" s="1150"/>
      <c r="X17" s="1148"/>
      <c r="Y17" s="1148"/>
      <c r="Z17" s="1148"/>
      <c r="AA17" s="1148"/>
      <c r="AB17" s="1148"/>
      <c r="AC17" s="1148"/>
      <c r="AD17" s="1148"/>
      <c r="AE17" s="1148"/>
      <c r="AF17" s="1148"/>
      <c r="AG17" s="1148"/>
      <c r="AH17" s="1148"/>
      <c r="AI17" s="1148"/>
      <c r="AJ17" s="1148"/>
      <c r="AK17" s="1148"/>
      <c r="AL17" s="1148"/>
      <c r="AM17" s="1148"/>
      <c r="AN17" s="1148"/>
      <c r="AO17" s="1148"/>
      <c r="AP17" s="1148"/>
      <c r="AQ17" s="1148"/>
      <c r="AR17" s="1148"/>
      <c r="AS17" s="1148"/>
      <c r="AT17" s="1148"/>
      <c r="AU17" s="1148"/>
      <c r="AV17" s="1148"/>
      <c r="AW17" s="1148"/>
      <c r="AX17" s="1148"/>
      <c r="AY17" s="1148"/>
      <c r="AZ17" s="1148"/>
      <c r="BA17" s="1148"/>
      <c r="BB17" s="1148"/>
      <c r="BC17" s="1148"/>
      <c r="BD17" s="1148"/>
      <c r="BE17" s="1148"/>
      <c r="BF17" s="1148"/>
      <c r="BG17" s="1148"/>
      <c r="BH17" s="1148"/>
      <c r="BI17" s="1148"/>
      <c r="BJ17" s="1148"/>
      <c r="BK17" s="1148"/>
      <c r="BL17" s="1148"/>
      <c r="BM17" s="1148"/>
      <c r="BN17" s="1148"/>
      <c r="BO17" s="1148"/>
      <c r="BP17" s="1148"/>
      <c r="BQ17" s="1148"/>
      <c r="BR17" s="1148"/>
      <c r="BS17" s="1148"/>
      <c r="BT17" s="1148"/>
      <c r="BU17" s="1148"/>
      <c r="BV17" s="1148"/>
      <c r="BW17" s="1148"/>
      <c r="BX17" s="1148"/>
      <c r="BY17" s="1148"/>
      <c r="BZ17" s="1148"/>
      <c r="CA17" s="1148"/>
      <c r="CB17" s="1148"/>
      <c r="CC17" s="1148"/>
      <c r="CD17" s="1148"/>
      <c r="CE17" s="1148"/>
      <c r="CF17" s="1148"/>
      <c r="CG17" s="1148"/>
      <c r="CH17" s="1148"/>
      <c r="CI17" s="1148"/>
      <c r="CJ17" s="1148"/>
      <c r="CK17" s="1148"/>
      <c r="CL17" s="1148"/>
      <c r="CM17" s="1148"/>
      <c r="CN17" s="1148"/>
      <c r="CO17" s="1148"/>
      <c r="CP17" s="1148"/>
      <c r="CQ17" s="1148"/>
      <c r="CR17" s="1148"/>
      <c r="CS17" s="1148"/>
      <c r="CT17" s="1148"/>
      <c r="CU17" s="1148"/>
      <c r="CV17" s="1148"/>
      <c r="CW17" s="1148"/>
      <c r="CX17" s="1148"/>
      <c r="CY17" s="1148"/>
      <c r="CZ17" s="1148"/>
      <c r="DA17" s="1148"/>
      <c r="DB17" s="1148"/>
      <c r="DC17" s="1148"/>
      <c r="DD17" s="1148"/>
      <c r="DE17" s="1148"/>
      <c r="DF17" s="1148"/>
      <c r="DG17" s="1148"/>
      <c r="DH17" s="1148"/>
      <c r="DI17" s="1148"/>
      <c r="DJ17" s="1148"/>
      <c r="DK17" s="1148"/>
      <c r="DL17" s="1148"/>
      <c r="DM17" s="1148"/>
      <c r="DN17" s="1148"/>
      <c r="DO17" s="1148"/>
      <c r="DP17" s="1148"/>
      <c r="DQ17" s="1148"/>
      <c r="DR17" s="1148"/>
      <c r="DS17" s="1148"/>
      <c r="DT17" s="1148"/>
      <c r="DU17" s="1148"/>
      <c r="DV17" s="1148"/>
      <c r="DW17" s="1148"/>
      <c r="DX17" s="1148"/>
      <c r="DY17" s="1148"/>
      <c r="DZ17" s="1148"/>
      <c r="EA17" s="1148"/>
    </row>
    <row r="18" spans="1:131" s="1149" customFormat="1" ht="35.1" customHeight="1">
      <c r="A18" s="1569"/>
      <c r="B18" s="1228" t="s">
        <v>801</v>
      </c>
      <c r="C18" s="1572"/>
      <c r="D18" s="1229"/>
      <c r="E18" s="1230">
        <v>0</v>
      </c>
      <c r="F18" s="1230">
        <v>0</v>
      </c>
      <c r="G18" s="1231">
        <v>0</v>
      </c>
      <c r="H18" s="1231">
        <v>0</v>
      </c>
      <c r="I18" s="1232">
        <f t="shared" si="1"/>
        <v>0</v>
      </c>
      <c r="J18" s="1233">
        <v>0</v>
      </c>
      <c r="K18" s="1234">
        <v>0</v>
      </c>
      <c r="L18" s="1234">
        <v>0</v>
      </c>
      <c r="M18" s="1235">
        <f t="shared" si="2"/>
        <v>0</v>
      </c>
      <c r="N18" s="1233">
        <v>0</v>
      </c>
      <c r="O18" s="1234">
        <v>0</v>
      </c>
      <c r="P18" s="1234">
        <v>0</v>
      </c>
      <c r="Q18" s="1235">
        <f t="shared" si="3"/>
        <v>0</v>
      </c>
      <c r="R18" s="1233">
        <f t="shared" si="4"/>
        <v>0</v>
      </c>
      <c r="S18" s="1234">
        <f t="shared" si="0"/>
        <v>0</v>
      </c>
      <c r="T18" s="1234">
        <f t="shared" si="0"/>
        <v>0</v>
      </c>
      <c r="U18" s="1235">
        <f t="shared" si="0"/>
        <v>0</v>
      </c>
      <c r="V18" s="1148"/>
      <c r="W18" s="1150"/>
      <c r="X18" s="1148"/>
      <c r="Y18" s="1148"/>
      <c r="Z18" s="1148"/>
      <c r="AA18" s="1148"/>
      <c r="AB18" s="1148"/>
      <c r="AC18" s="1148"/>
      <c r="AD18" s="1148"/>
      <c r="AE18" s="1148"/>
      <c r="AF18" s="1148"/>
      <c r="AG18" s="1148"/>
      <c r="AH18" s="1148"/>
      <c r="AI18" s="1148"/>
      <c r="AJ18" s="1148"/>
      <c r="AK18" s="1148"/>
      <c r="AL18" s="1148"/>
      <c r="AM18" s="1148"/>
      <c r="AN18" s="1148"/>
      <c r="AO18" s="1148"/>
      <c r="AP18" s="1148"/>
      <c r="AQ18" s="1148"/>
      <c r="AR18" s="1148"/>
      <c r="AS18" s="1148"/>
      <c r="AT18" s="1148"/>
      <c r="AU18" s="1148"/>
      <c r="AV18" s="1148"/>
      <c r="AW18" s="1148"/>
      <c r="AX18" s="1148"/>
      <c r="AY18" s="1148"/>
      <c r="AZ18" s="1148"/>
      <c r="BA18" s="1148"/>
      <c r="BB18" s="1148"/>
      <c r="BC18" s="1148"/>
      <c r="BD18" s="1148"/>
      <c r="BE18" s="1148"/>
      <c r="BF18" s="1148"/>
      <c r="BG18" s="1148"/>
      <c r="BH18" s="1148"/>
      <c r="BI18" s="1148"/>
      <c r="BJ18" s="1148"/>
      <c r="BK18" s="1148"/>
      <c r="BL18" s="1148"/>
      <c r="BM18" s="1148"/>
      <c r="BN18" s="1148"/>
      <c r="BO18" s="1148"/>
      <c r="BP18" s="1148"/>
      <c r="BQ18" s="1148"/>
      <c r="BR18" s="1148"/>
      <c r="BS18" s="1148"/>
      <c r="BT18" s="1148"/>
      <c r="BU18" s="1148"/>
      <c r="BV18" s="1148"/>
      <c r="BW18" s="1148"/>
      <c r="BX18" s="1148"/>
      <c r="BY18" s="1148"/>
      <c r="BZ18" s="1148"/>
      <c r="CA18" s="1148"/>
      <c r="CB18" s="1148"/>
      <c r="CC18" s="1148"/>
      <c r="CD18" s="1148"/>
      <c r="CE18" s="1148"/>
      <c r="CF18" s="1148"/>
      <c r="CG18" s="1148"/>
      <c r="CH18" s="1148"/>
      <c r="CI18" s="1148"/>
      <c r="CJ18" s="1148"/>
      <c r="CK18" s="1148"/>
      <c r="CL18" s="1148"/>
      <c r="CM18" s="1148"/>
      <c r="CN18" s="1148"/>
      <c r="CO18" s="1148"/>
      <c r="CP18" s="1148"/>
      <c r="CQ18" s="1148"/>
      <c r="CR18" s="1148"/>
      <c r="CS18" s="1148"/>
      <c r="CT18" s="1148"/>
      <c r="CU18" s="1148"/>
      <c r="CV18" s="1148"/>
      <c r="CW18" s="1148"/>
      <c r="CX18" s="1148"/>
      <c r="CY18" s="1148"/>
      <c r="CZ18" s="1148"/>
      <c r="DA18" s="1148"/>
      <c r="DB18" s="1148"/>
      <c r="DC18" s="1148"/>
      <c r="DD18" s="1148"/>
      <c r="DE18" s="1148"/>
      <c r="DF18" s="1148"/>
      <c r="DG18" s="1148"/>
      <c r="DH18" s="1148"/>
      <c r="DI18" s="1148"/>
      <c r="DJ18" s="1148"/>
      <c r="DK18" s="1148"/>
      <c r="DL18" s="1148"/>
      <c r="DM18" s="1148"/>
      <c r="DN18" s="1148"/>
      <c r="DO18" s="1148"/>
      <c r="DP18" s="1148"/>
      <c r="DQ18" s="1148"/>
      <c r="DR18" s="1148"/>
      <c r="DS18" s="1148"/>
      <c r="DT18" s="1148"/>
      <c r="DU18" s="1148"/>
      <c r="DV18" s="1148"/>
      <c r="DW18" s="1148"/>
      <c r="DX18" s="1148"/>
      <c r="DY18" s="1148"/>
      <c r="DZ18" s="1148"/>
      <c r="EA18" s="1148"/>
    </row>
    <row r="19" spans="1:131" s="1149" customFormat="1" ht="35.1" customHeight="1">
      <c r="A19" s="1593"/>
      <c r="B19" s="1228" t="s">
        <v>802</v>
      </c>
      <c r="C19" s="1595"/>
      <c r="D19" s="1229"/>
      <c r="E19" s="1230">
        <v>0</v>
      </c>
      <c r="F19" s="1230">
        <f>F16+F17+F18</f>
        <v>2</v>
      </c>
      <c r="G19" s="1231">
        <f t="shared" ref="G19:H19" si="5">G16+G17+G18</f>
        <v>0</v>
      </c>
      <c r="H19" s="1231">
        <f t="shared" si="5"/>
        <v>0</v>
      </c>
      <c r="I19" s="1232">
        <f t="shared" si="1"/>
        <v>2</v>
      </c>
      <c r="J19" s="1233">
        <f>J16+J17+J18</f>
        <v>0</v>
      </c>
      <c r="K19" s="1234">
        <f t="shared" ref="K19:L19" si="6">K16+K17+K18</f>
        <v>0</v>
      </c>
      <c r="L19" s="1234">
        <f t="shared" si="6"/>
        <v>0</v>
      </c>
      <c r="M19" s="1235">
        <f t="shared" si="2"/>
        <v>0</v>
      </c>
      <c r="N19" s="1233">
        <f>N16+N17+N18</f>
        <v>172380.1</v>
      </c>
      <c r="O19" s="1234">
        <f t="shared" ref="O19:P19" si="7">O16+O17+O18</f>
        <v>0</v>
      </c>
      <c r="P19" s="1234">
        <f t="shared" si="7"/>
        <v>0</v>
      </c>
      <c r="Q19" s="1235">
        <f t="shared" si="3"/>
        <v>172380.1</v>
      </c>
      <c r="R19" s="1233">
        <f t="shared" si="4"/>
        <v>172380.1</v>
      </c>
      <c r="S19" s="1234">
        <f t="shared" si="0"/>
        <v>0</v>
      </c>
      <c r="T19" s="1234">
        <f t="shared" si="0"/>
        <v>0</v>
      </c>
      <c r="U19" s="1235">
        <f t="shared" si="0"/>
        <v>172380.1</v>
      </c>
      <c r="V19" s="1150"/>
      <c r="W19" s="1150"/>
      <c r="X19" s="1148"/>
      <c r="Y19" s="1148"/>
      <c r="Z19" s="1148"/>
      <c r="AA19" s="1148"/>
      <c r="AB19" s="1148"/>
      <c r="AC19" s="1148"/>
      <c r="AD19" s="1148"/>
      <c r="AE19" s="1148"/>
      <c r="AF19" s="1148"/>
      <c r="AG19" s="1148"/>
      <c r="AH19" s="1148"/>
      <c r="AI19" s="1148"/>
      <c r="AJ19" s="1148"/>
      <c r="AK19" s="1148"/>
      <c r="AL19" s="1148"/>
      <c r="AM19" s="1148"/>
      <c r="AN19" s="1148"/>
      <c r="AO19" s="1148"/>
      <c r="AP19" s="1148"/>
      <c r="AQ19" s="1148"/>
      <c r="AR19" s="1148"/>
      <c r="AS19" s="1148"/>
      <c r="AT19" s="1148"/>
      <c r="AU19" s="1148"/>
      <c r="AV19" s="1148"/>
      <c r="AW19" s="1148"/>
      <c r="AX19" s="1148"/>
      <c r="AY19" s="1148"/>
      <c r="AZ19" s="1148"/>
      <c r="BA19" s="1148"/>
      <c r="BB19" s="1148"/>
      <c r="BC19" s="1148"/>
      <c r="BD19" s="1148"/>
      <c r="BE19" s="1148"/>
      <c r="BF19" s="1148"/>
      <c r="BG19" s="1148"/>
      <c r="BH19" s="1148"/>
      <c r="BI19" s="1148"/>
      <c r="BJ19" s="1148"/>
      <c r="BK19" s="1148"/>
      <c r="BL19" s="1148"/>
      <c r="BM19" s="1148"/>
      <c r="BN19" s="1148"/>
      <c r="BO19" s="1148"/>
      <c r="BP19" s="1148"/>
      <c r="BQ19" s="1148"/>
      <c r="BR19" s="1148"/>
      <c r="BS19" s="1148"/>
      <c r="BT19" s="1148"/>
      <c r="BU19" s="1148"/>
      <c r="BV19" s="1148"/>
      <c r="BW19" s="1148"/>
      <c r="BX19" s="1148"/>
      <c r="BY19" s="1148"/>
      <c r="BZ19" s="1148"/>
      <c r="CA19" s="1148"/>
      <c r="CB19" s="1148"/>
      <c r="CC19" s="1148"/>
      <c r="CD19" s="1148"/>
      <c r="CE19" s="1148"/>
      <c r="CF19" s="1148"/>
      <c r="CG19" s="1148"/>
      <c r="CH19" s="1148"/>
      <c r="CI19" s="1148"/>
      <c r="CJ19" s="1148"/>
      <c r="CK19" s="1148"/>
      <c r="CL19" s="1148"/>
      <c r="CM19" s="1148"/>
      <c r="CN19" s="1148"/>
      <c r="CO19" s="1148"/>
      <c r="CP19" s="1148"/>
      <c r="CQ19" s="1148"/>
      <c r="CR19" s="1148"/>
      <c r="CS19" s="1148"/>
      <c r="CT19" s="1148"/>
      <c r="CU19" s="1148"/>
      <c r="CV19" s="1148"/>
      <c r="CW19" s="1148"/>
      <c r="CX19" s="1148"/>
      <c r="CY19" s="1148"/>
      <c r="CZ19" s="1148"/>
      <c r="DA19" s="1148"/>
      <c r="DB19" s="1148"/>
      <c r="DC19" s="1148"/>
      <c r="DD19" s="1148"/>
      <c r="DE19" s="1148"/>
      <c r="DF19" s="1148"/>
      <c r="DG19" s="1148"/>
      <c r="DH19" s="1148"/>
      <c r="DI19" s="1148"/>
      <c r="DJ19" s="1148"/>
      <c r="DK19" s="1148"/>
      <c r="DL19" s="1148"/>
      <c r="DM19" s="1148"/>
      <c r="DN19" s="1148"/>
      <c r="DO19" s="1148"/>
      <c r="DP19" s="1148"/>
      <c r="DQ19" s="1148"/>
      <c r="DR19" s="1148"/>
      <c r="DS19" s="1148"/>
      <c r="DT19" s="1148"/>
      <c r="DU19" s="1148"/>
      <c r="DV19" s="1148"/>
      <c r="DW19" s="1148"/>
      <c r="DX19" s="1148"/>
      <c r="DY19" s="1148"/>
      <c r="DZ19" s="1148"/>
      <c r="EA19" s="1148"/>
    </row>
    <row r="20" spans="1:131" s="1149" customFormat="1" ht="35.1" customHeight="1">
      <c r="A20" s="1592" t="s">
        <v>803</v>
      </c>
      <c r="B20" s="1265" t="s">
        <v>52</v>
      </c>
      <c r="C20" s="1266"/>
      <c r="D20" s="1267"/>
      <c r="E20" s="1268">
        <v>0</v>
      </c>
      <c r="F20" s="1268">
        <f>F16</f>
        <v>0</v>
      </c>
      <c r="G20" s="1269">
        <f t="shared" ref="G20:I20" si="8">G16</f>
        <v>0</v>
      </c>
      <c r="H20" s="1269">
        <f t="shared" si="8"/>
        <v>0</v>
      </c>
      <c r="I20" s="1270">
        <f t="shared" si="8"/>
        <v>0</v>
      </c>
      <c r="J20" s="1271">
        <f>J16</f>
        <v>0</v>
      </c>
      <c r="K20" s="1272">
        <f t="shared" ref="K20:U23" si="9">K16</f>
        <v>0</v>
      </c>
      <c r="L20" s="1272">
        <f t="shared" si="9"/>
        <v>0</v>
      </c>
      <c r="M20" s="1273">
        <f t="shared" si="9"/>
        <v>0</v>
      </c>
      <c r="N20" s="1271">
        <f t="shared" si="9"/>
        <v>0</v>
      </c>
      <c r="O20" s="1272">
        <f t="shared" si="9"/>
        <v>0</v>
      </c>
      <c r="P20" s="1272">
        <f t="shared" si="9"/>
        <v>0</v>
      </c>
      <c r="Q20" s="1273">
        <f t="shared" si="9"/>
        <v>0</v>
      </c>
      <c r="R20" s="1271">
        <f t="shared" si="9"/>
        <v>0</v>
      </c>
      <c r="S20" s="1272">
        <f t="shared" si="9"/>
        <v>0</v>
      </c>
      <c r="T20" s="1272">
        <f t="shared" si="9"/>
        <v>0</v>
      </c>
      <c r="U20" s="1273">
        <f t="shared" si="9"/>
        <v>0</v>
      </c>
      <c r="V20" s="1148"/>
      <c r="W20" s="1148"/>
      <c r="X20" s="1148"/>
      <c r="Y20" s="1148"/>
      <c r="Z20" s="1148"/>
      <c r="AA20" s="1148"/>
      <c r="AB20" s="1148"/>
      <c r="AC20" s="1148"/>
      <c r="AD20" s="1148"/>
      <c r="AE20" s="1148"/>
      <c r="AF20" s="1148"/>
      <c r="AG20" s="1148"/>
      <c r="AH20" s="1148"/>
      <c r="AI20" s="1148"/>
      <c r="AJ20" s="1148"/>
      <c r="AK20" s="1148"/>
      <c r="AL20" s="1148"/>
      <c r="AM20" s="1148"/>
      <c r="AN20" s="1148"/>
      <c r="AO20" s="1148"/>
      <c r="AP20" s="1148"/>
      <c r="AQ20" s="1148"/>
      <c r="AR20" s="1148"/>
      <c r="AS20" s="1148"/>
      <c r="AT20" s="1148"/>
      <c r="AU20" s="1148"/>
      <c r="AV20" s="1148"/>
      <c r="AW20" s="1148"/>
      <c r="AX20" s="1148"/>
      <c r="AY20" s="1148"/>
      <c r="AZ20" s="1148"/>
      <c r="BA20" s="1148"/>
      <c r="BB20" s="1148"/>
      <c r="BC20" s="1148"/>
      <c r="BD20" s="1148"/>
      <c r="BE20" s="1148"/>
      <c r="BF20" s="1148"/>
      <c r="BG20" s="1148"/>
      <c r="BH20" s="1148"/>
      <c r="BI20" s="1148"/>
      <c r="BJ20" s="1148"/>
      <c r="BK20" s="1148"/>
      <c r="BL20" s="1148"/>
      <c r="BM20" s="1148"/>
      <c r="BN20" s="1148"/>
      <c r="BO20" s="1148"/>
      <c r="BP20" s="1148"/>
      <c r="BQ20" s="1148"/>
      <c r="BR20" s="1148"/>
      <c r="BS20" s="1148"/>
      <c r="BT20" s="1148"/>
      <c r="BU20" s="1148"/>
      <c r="BV20" s="1148"/>
      <c r="BW20" s="1148"/>
      <c r="BX20" s="1148"/>
      <c r="BY20" s="1148"/>
      <c r="BZ20" s="1148"/>
      <c r="CA20" s="1148"/>
      <c r="CB20" s="1148"/>
      <c r="CC20" s="1148"/>
      <c r="CD20" s="1148"/>
      <c r="CE20" s="1148"/>
      <c r="CF20" s="1148"/>
      <c r="CG20" s="1148"/>
      <c r="CH20" s="1148"/>
      <c r="CI20" s="1148"/>
      <c r="CJ20" s="1148"/>
      <c r="CK20" s="1148"/>
      <c r="CL20" s="1148"/>
      <c r="CM20" s="1148"/>
      <c r="CN20" s="1148"/>
      <c r="CO20" s="1148"/>
      <c r="CP20" s="1148"/>
      <c r="CQ20" s="1148"/>
      <c r="CR20" s="1148"/>
      <c r="CS20" s="1148"/>
      <c r="CT20" s="1148"/>
      <c r="CU20" s="1148"/>
      <c r="CV20" s="1148"/>
      <c r="CW20" s="1148"/>
      <c r="CX20" s="1148"/>
      <c r="CY20" s="1148"/>
      <c r="CZ20" s="1148"/>
      <c r="DA20" s="1148"/>
      <c r="DB20" s="1148"/>
      <c r="DC20" s="1148"/>
      <c r="DD20" s="1148"/>
      <c r="DE20" s="1148"/>
      <c r="DF20" s="1148"/>
      <c r="DG20" s="1148"/>
      <c r="DH20" s="1148"/>
      <c r="DI20" s="1148"/>
      <c r="DJ20" s="1148"/>
      <c r="DK20" s="1148"/>
      <c r="DL20" s="1148"/>
      <c r="DM20" s="1148"/>
      <c r="DN20" s="1148"/>
      <c r="DO20" s="1148"/>
      <c r="DP20" s="1148"/>
      <c r="DQ20" s="1148"/>
      <c r="DR20" s="1148"/>
      <c r="DS20" s="1148"/>
      <c r="DT20" s="1148"/>
      <c r="DU20" s="1148"/>
      <c r="DV20" s="1148"/>
      <c r="DW20" s="1148"/>
      <c r="DX20" s="1148"/>
      <c r="DY20" s="1148"/>
      <c r="DZ20" s="1148"/>
      <c r="EA20" s="1148"/>
    </row>
    <row r="21" spans="1:131" s="1149" customFormat="1" ht="35.1" customHeight="1">
      <c r="A21" s="1574"/>
      <c r="B21" s="1244" t="s">
        <v>800</v>
      </c>
      <c r="C21" s="1245"/>
      <c r="D21" s="1229"/>
      <c r="E21" s="1230">
        <v>0</v>
      </c>
      <c r="F21" s="1230">
        <f t="shared" ref="F21:Q23" si="10">F17</f>
        <v>2</v>
      </c>
      <c r="G21" s="1231">
        <f t="shared" si="10"/>
        <v>0</v>
      </c>
      <c r="H21" s="1231">
        <f t="shared" si="10"/>
        <v>0</v>
      </c>
      <c r="I21" s="1232">
        <f t="shared" si="10"/>
        <v>2</v>
      </c>
      <c r="J21" s="1233">
        <f t="shared" si="10"/>
        <v>0</v>
      </c>
      <c r="K21" s="1234">
        <f t="shared" si="10"/>
        <v>0</v>
      </c>
      <c r="L21" s="1234">
        <f t="shared" si="10"/>
        <v>0</v>
      </c>
      <c r="M21" s="1235">
        <f t="shared" si="10"/>
        <v>0</v>
      </c>
      <c r="N21" s="1233">
        <f t="shared" si="10"/>
        <v>172380.1</v>
      </c>
      <c r="O21" s="1234">
        <f t="shared" si="10"/>
        <v>0</v>
      </c>
      <c r="P21" s="1234">
        <f t="shared" si="10"/>
        <v>0</v>
      </c>
      <c r="Q21" s="1235">
        <f t="shared" si="10"/>
        <v>172380.1</v>
      </c>
      <c r="R21" s="1233">
        <f t="shared" si="9"/>
        <v>172380.1</v>
      </c>
      <c r="S21" s="1234">
        <f t="shared" si="9"/>
        <v>0</v>
      </c>
      <c r="T21" s="1234">
        <f t="shared" si="9"/>
        <v>0</v>
      </c>
      <c r="U21" s="1235">
        <f t="shared" si="9"/>
        <v>172380.1</v>
      </c>
      <c r="V21" s="1148"/>
      <c r="W21" s="1148"/>
      <c r="X21" s="1148"/>
      <c r="Y21" s="1148"/>
      <c r="Z21" s="1148"/>
      <c r="AA21" s="1148"/>
      <c r="AB21" s="1148"/>
      <c r="AC21" s="1148"/>
      <c r="AD21" s="1148"/>
      <c r="AE21" s="1148"/>
      <c r="AF21" s="1148"/>
      <c r="AG21" s="1148"/>
      <c r="AH21" s="1148"/>
      <c r="AI21" s="1148"/>
      <c r="AJ21" s="1148"/>
      <c r="AK21" s="1148"/>
      <c r="AL21" s="1148"/>
      <c r="AM21" s="1148"/>
      <c r="AN21" s="1148"/>
      <c r="AO21" s="1148"/>
      <c r="AP21" s="1148"/>
      <c r="AQ21" s="1148"/>
      <c r="AR21" s="1148"/>
      <c r="AS21" s="1148"/>
      <c r="AT21" s="1148"/>
      <c r="AU21" s="1148"/>
      <c r="AV21" s="1148"/>
      <c r="AW21" s="1148"/>
      <c r="AX21" s="1148"/>
      <c r="AY21" s="1148"/>
      <c r="AZ21" s="1148"/>
      <c r="BA21" s="1148"/>
      <c r="BB21" s="1148"/>
      <c r="BC21" s="1148"/>
      <c r="BD21" s="1148"/>
      <c r="BE21" s="1148"/>
      <c r="BF21" s="1148"/>
      <c r="BG21" s="1148"/>
      <c r="BH21" s="1148"/>
      <c r="BI21" s="1148"/>
      <c r="BJ21" s="1148"/>
      <c r="BK21" s="1148"/>
      <c r="BL21" s="1148"/>
      <c r="BM21" s="1148"/>
      <c r="BN21" s="1148"/>
      <c r="BO21" s="1148"/>
      <c r="BP21" s="1148"/>
      <c r="BQ21" s="1148"/>
      <c r="BR21" s="1148"/>
      <c r="BS21" s="1148"/>
      <c r="BT21" s="1148"/>
      <c r="BU21" s="1148"/>
      <c r="BV21" s="1148"/>
      <c r="BW21" s="1148"/>
      <c r="BX21" s="1148"/>
      <c r="BY21" s="1148"/>
      <c r="BZ21" s="1148"/>
      <c r="CA21" s="1148"/>
      <c r="CB21" s="1148"/>
      <c r="CC21" s="1148"/>
      <c r="CD21" s="1148"/>
      <c r="CE21" s="1148"/>
      <c r="CF21" s="1148"/>
      <c r="CG21" s="1148"/>
      <c r="CH21" s="1148"/>
      <c r="CI21" s="1148"/>
      <c r="CJ21" s="1148"/>
      <c r="CK21" s="1148"/>
      <c r="CL21" s="1148"/>
      <c r="CM21" s="1148"/>
      <c r="CN21" s="1148"/>
      <c r="CO21" s="1148"/>
      <c r="CP21" s="1148"/>
      <c r="CQ21" s="1148"/>
      <c r="CR21" s="1148"/>
      <c r="CS21" s="1148"/>
      <c r="CT21" s="1148"/>
      <c r="CU21" s="1148"/>
      <c r="CV21" s="1148"/>
      <c r="CW21" s="1148"/>
      <c r="CX21" s="1148"/>
      <c r="CY21" s="1148"/>
      <c r="CZ21" s="1148"/>
      <c r="DA21" s="1148"/>
      <c r="DB21" s="1148"/>
      <c r="DC21" s="1148"/>
      <c r="DD21" s="1148"/>
      <c r="DE21" s="1148"/>
      <c r="DF21" s="1148"/>
      <c r="DG21" s="1148"/>
      <c r="DH21" s="1148"/>
      <c r="DI21" s="1148"/>
      <c r="DJ21" s="1148"/>
      <c r="DK21" s="1148"/>
      <c r="DL21" s="1148"/>
      <c r="DM21" s="1148"/>
      <c r="DN21" s="1148"/>
      <c r="DO21" s="1148"/>
      <c r="DP21" s="1148"/>
      <c r="DQ21" s="1148"/>
      <c r="DR21" s="1148"/>
      <c r="DS21" s="1148"/>
      <c r="DT21" s="1148"/>
      <c r="DU21" s="1148"/>
      <c r="DV21" s="1148"/>
      <c r="DW21" s="1148"/>
      <c r="DX21" s="1148"/>
      <c r="DY21" s="1148"/>
      <c r="DZ21" s="1148"/>
      <c r="EA21" s="1148"/>
    </row>
    <row r="22" spans="1:131" s="1149" customFormat="1" ht="35.1" customHeight="1">
      <c r="A22" s="1574"/>
      <c r="B22" s="1244" t="s">
        <v>804</v>
      </c>
      <c r="C22" s="1245"/>
      <c r="D22" s="1229"/>
      <c r="E22" s="1230">
        <v>0</v>
      </c>
      <c r="F22" s="1230">
        <f t="shared" si="10"/>
        <v>0</v>
      </c>
      <c r="G22" s="1231">
        <f t="shared" si="10"/>
        <v>0</v>
      </c>
      <c r="H22" s="1231">
        <f t="shared" si="10"/>
        <v>0</v>
      </c>
      <c r="I22" s="1232">
        <f t="shared" si="10"/>
        <v>0</v>
      </c>
      <c r="J22" s="1233">
        <f t="shared" si="10"/>
        <v>0</v>
      </c>
      <c r="K22" s="1234">
        <f t="shared" si="10"/>
        <v>0</v>
      </c>
      <c r="L22" s="1234">
        <f t="shared" si="10"/>
        <v>0</v>
      </c>
      <c r="M22" s="1235">
        <f t="shared" si="10"/>
        <v>0</v>
      </c>
      <c r="N22" s="1233">
        <f t="shared" si="10"/>
        <v>0</v>
      </c>
      <c r="O22" s="1234">
        <f t="shared" si="10"/>
        <v>0</v>
      </c>
      <c r="P22" s="1234">
        <f t="shared" si="10"/>
        <v>0</v>
      </c>
      <c r="Q22" s="1235">
        <f t="shared" si="10"/>
        <v>0</v>
      </c>
      <c r="R22" s="1233">
        <f t="shared" si="9"/>
        <v>0</v>
      </c>
      <c r="S22" s="1234">
        <f t="shared" si="9"/>
        <v>0</v>
      </c>
      <c r="T22" s="1234">
        <f t="shared" si="9"/>
        <v>0</v>
      </c>
      <c r="U22" s="1235">
        <f t="shared" si="9"/>
        <v>0</v>
      </c>
      <c r="V22" s="1148"/>
      <c r="W22" s="1148"/>
      <c r="X22" s="1148"/>
      <c r="Y22" s="1148"/>
      <c r="Z22" s="1148"/>
      <c r="AA22" s="1148"/>
      <c r="AB22" s="1148"/>
      <c r="AC22" s="1148"/>
      <c r="AD22" s="1148"/>
      <c r="AE22" s="1148"/>
      <c r="AF22" s="1148"/>
      <c r="AG22" s="1148"/>
      <c r="AH22" s="1148"/>
      <c r="AI22" s="1148"/>
      <c r="AJ22" s="1148"/>
      <c r="AK22" s="1148"/>
      <c r="AL22" s="1148"/>
      <c r="AM22" s="1148"/>
      <c r="AN22" s="1148"/>
      <c r="AO22" s="1148"/>
      <c r="AP22" s="1148"/>
      <c r="AQ22" s="1148"/>
      <c r="AR22" s="1148"/>
      <c r="AS22" s="1148"/>
      <c r="AT22" s="1148"/>
      <c r="AU22" s="1148"/>
      <c r="AV22" s="1148"/>
      <c r="AW22" s="1148"/>
      <c r="AX22" s="1148"/>
      <c r="AY22" s="1148"/>
      <c r="AZ22" s="1148"/>
      <c r="BA22" s="1148"/>
      <c r="BB22" s="1148"/>
      <c r="BC22" s="1148"/>
      <c r="BD22" s="1148"/>
      <c r="BE22" s="1148"/>
      <c r="BF22" s="1148"/>
      <c r="BG22" s="1148"/>
      <c r="BH22" s="1148"/>
      <c r="BI22" s="1148"/>
      <c r="BJ22" s="1148"/>
      <c r="BK22" s="1148"/>
      <c r="BL22" s="1148"/>
      <c r="BM22" s="1148"/>
      <c r="BN22" s="1148"/>
      <c r="BO22" s="1148"/>
      <c r="BP22" s="1148"/>
      <c r="BQ22" s="1148"/>
      <c r="BR22" s="1148"/>
      <c r="BS22" s="1148"/>
      <c r="BT22" s="1148"/>
      <c r="BU22" s="1148"/>
      <c r="BV22" s="1148"/>
      <c r="BW22" s="1148"/>
      <c r="BX22" s="1148"/>
      <c r="BY22" s="1148"/>
      <c r="BZ22" s="1148"/>
      <c r="CA22" s="1148"/>
      <c r="CB22" s="1148"/>
      <c r="CC22" s="1148"/>
      <c r="CD22" s="1148"/>
      <c r="CE22" s="1148"/>
      <c r="CF22" s="1148"/>
      <c r="CG22" s="1148"/>
      <c r="CH22" s="1148"/>
      <c r="CI22" s="1148"/>
      <c r="CJ22" s="1148"/>
      <c r="CK22" s="1148"/>
      <c r="CL22" s="1148"/>
      <c r="CM22" s="1148"/>
      <c r="CN22" s="1148"/>
      <c r="CO22" s="1148"/>
      <c r="CP22" s="1148"/>
      <c r="CQ22" s="1148"/>
      <c r="CR22" s="1148"/>
      <c r="CS22" s="1148"/>
      <c r="CT22" s="1148"/>
      <c r="CU22" s="1148"/>
      <c r="CV22" s="1148"/>
      <c r="CW22" s="1148"/>
      <c r="CX22" s="1148"/>
      <c r="CY22" s="1148"/>
      <c r="CZ22" s="1148"/>
      <c r="DA22" s="1148"/>
      <c r="DB22" s="1148"/>
      <c r="DC22" s="1148"/>
      <c r="DD22" s="1148"/>
      <c r="DE22" s="1148"/>
      <c r="DF22" s="1148"/>
      <c r="DG22" s="1148"/>
      <c r="DH22" s="1148"/>
      <c r="DI22" s="1148"/>
      <c r="DJ22" s="1148"/>
      <c r="DK22" s="1148"/>
      <c r="DL22" s="1148"/>
      <c r="DM22" s="1148"/>
      <c r="DN22" s="1148"/>
      <c r="DO22" s="1148"/>
      <c r="DP22" s="1148"/>
      <c r="DQ22" s="1148"/>
      <c r="DR22" s="1148"/>
      <c r="DS22" s="1148"/>
      <c r="DT22" s="1148"/>
      <c r="DU22" s="1148"/>
      <c r="DV22" s="1148"/>
      <c r="DW22" s="1148"/>
      <c r="DX22" s="1148"/>
      <c r="DY22" s="1148"/>
      <c r="DZ22" s="1148"/>
      <c r="EA22" s="1148"/>
    </row>
    <row r="23" spans="1:131" s="1149" customFormat="1" ht="35.1" customHeight="1" thickBot="1">
      <c r="A23" s="1575"/>
      <c r="B23" s="1151" t="s">
        <v>802</v>
      </c>
      <c r="C23" s="1246"/>
      <c r="D23" s="1247"/>
      <c r="E23" s="1248">
        <v>0</v>
      </c>
      <c r="F23" s="1248">
        <f t="shared" si="10"/>
        <v>2</v>
      </c>
      <c r="G23" s="1249">
        <f t="shared" si="10"/>
        <v>0</v>
      </c>
      <c r="H23" s="1249">
        <f t="shared" si="10"/>
        <v>0</v>
      </c>
      <c r="I23" s="1250">
        <f t="shared" si="10"/>
        <v>2</v>
      </c>
      <c r="J23" s="1251">
        <f t="shared" si="10"/>
        <v>0</v>
      </c>
      <c r="K23" s="1252">
        <f t="shared" si="10"/>
        <v>0</v>
      </c>
      <c r="L23" s="1252">
        <f t="shared" si="10"/>
        <v>0</v>
      </c>
      <c r="M23" s="1253">
        <f t="shared" si="10"/>
        <v>0</v>
      </c>
      <c r="N23" s="1251">
        <f t="shared" si="10"/>
        <v>172380.1</v>
      </c>
      <c r="O23" s="1252">
        <f t="shared" si="10"/>
        <v>0</v>
      </c>
      <c r="P23" s="1252">
        <f t="shared" si="10"/>
        <v>0</v>
      </c>
      <c r="Q23" s="1253">
        <f t="shared" si="10"/>
        <v>172380.1</v>
      </c>
      <c r="R23" s="1251">
        <f t="shared" si="9"/>
        <v>172380.1</v>
      </c>
      <c r="S23" s="1252">
        <f t="shared" si="9"/>
        <v>0</v>
      </c>
      <c r="T23" s="1252">
        <f t="shared" si="9"/>
        <v>0</v>
      </c>
      <c r="U23" s="1253">
        <f t="shared" si="9"/>
        <v>172380.1</v>
      </c>
      <c r="V23" s="1148"/>
      <c r="W23" s="1148"/>
      <c r="X23" s="1148"/>
      <c r="Y23" s="1148"/>
      <c r="Z23" s="1148"/>
      <c r="AA23" s="1148"/>
      <c r="AB23" s="1148"/>
      <c r="AC23" s="1148"/>
      <c r="AD23" s="1148"/>
      <c r="AE23" s="1148"/>
      <c r="AF23" s="1148"/>
      <c r="AG23" s="1148"/>
      <c r="AH23" s="1148"/>
      <c r="AI23" s="1148"/>
      <c r="AJ23" s="1148"/>
      <c r="AK23" s="1148"/>
      <c r="AL23" s="1148"/>
      <c r="AM23" s="1148"/>
      <c r="AN23" s="1148"/>
      <c r="AO23" s="1148"/>
      <c r="AP23" s="1148"/>
      <c r="AQ23" s="1148"/>
      <c r="AR23" s="1148"/>
      <c r="AS23" s="1148"/>
      <c r="AT23" s="1148"/>
      <c r="AU23" s="1148"/>
      <c r="AV23" s="1148"/>
      <c r="AW23" s="1148"/>
      <c r="AX23" s="1148"/>
      <c r="AY23" s="1148"/>
      <c r="AZ23" s="1148"/>
      <c r="BA23" s="1148"/>
      <c r="BB23" s="1148"/>
      <c r="BC23" s="1148"/>
      <c r="BD23" s="1148"/>
      <c r="BE23" s="1148"/>
      <c r="BF23" s="1148"/>
      <c r="BG23" s="1148"/>
      <c r="BH23" s="1148"/>
      <c r="BI23" s="1148"/>
      <c r="BJ23" s="1148"/>
      <c r="BK23" s="1148"/>
      <c r="BL23" s="1148"/>
      <c r="BM23" s="1148"/>
      <c r="BN23" s="1148"/>
      <c r="BO23" s="1148"/>
      <c r="BP23" s="1148"/>
      <c r="BQ23" s="1148"/>
      <c r="BR23" s="1148"/>
      <c r="BS23" s="1148"/>
      <c r="BT23" s="1148"/>
      <c r="BU23" s="1148"/>
      <c r="BV23" s="1148"/>
      <c r="BW23" s="1148"/>
      <c r="BX23" s="1148"/>
      <c r="BY23" s="1148"/>
      <c r="BZ23" s="1148"/>
      <c r="CA23" s="1148"/>
      <c r="CB23" s="1148"/>
      <c r="CC23" s="1148"/>
      <c r="CD23" s="1148"/>
      <c r="CE23" s="1148"/>
      <c r="CF23" s="1148"/>
      <c r="CG23" s="1148"/>
      <c r="CH23" s="1148"/>
      <c r="CI23" s="1148"/>
      <c r="CJ23" s="1148"/>
      <c r="CK23" s="1148"/>
      <c r="CL23" s="1148"/>
      <c r="CM23" s="1148"/>
      <c r="CN23" s="1148"/>
      <c r="CO23" s="1148"/>
      <c r="CP23" s="1148"/>
      <c r="CQ23" s="1148"/>
      <c r="CR23" s="1148"/>
      <c r="CS23" s="1148"/>
      <c r="CT23" s="1148"/>
      <c r="CU23" s="1148"/>
      <c r="CV23" s="1148"/>
      <c r="CW23" s="1148"/>
      <c r="CX23" s="1148"/>
      <c r="CY23" s="1148"/>
      <c r="CZ23" s="1148"/>
      <c r="DA23" s="1148"/>
      <c r="DB23" s="1148"/>
      <c r="DC23" s="1148"/>
      <c r="DD23" s="1148"/>
      <c r="DE23" s="1148"/>
      <c r="DF23" s="1148"/>
      <c r="DG23" s="1148"/>
      <c r="DH23" s="1148"/>
      <c r="DI23" s="1148"/>
      <c r="DJ23" s="1148"/>
      <c r="DK23" s="1148"/>
      <c r="DL23" s="1148"/>
      <c r="DM23" s="1148"/>
      <c r="DN23" s="1148"/>
      <c r="DO23" s="1148"/>
      <c r="DP23" s="1148"/>
      <c r="DQ23" s="1148"/>
      <c r="DR23" s="1148"/>
      <c r="DS23" s="1148"/>
      <c r="DT23" s="1148"/>
      <c r="DU23" s="1148"/>
      <c r="DV23" s="1148"/>
      <c r="DW23" s="1148"/>
      <c r="DX23" s="1148"/>
      <c r="DY23" s="1148"/>
      <c r="DZ23" s="1148"/>
      <c r="EA23" s="1148"/>
    </row>
    <row r="24" spans="1:131" s="1149" customFormat="1" ht="19.5" customHeight="1">
      <c r="A24" s="1152"/>
      <c r="B24" s="1153"/>
      <c r="C24" s="1153"/>
      <c r="D24" s="1153"/>
      <c r="E24" s="1153"/>
      <c r="F24" s="1154"/>
      <c r="G24" s="1154"/>
      <c r="H24" s="1154"/>
      <c r="I24" s="1154"/>
      <c r="J24" s="1154"/>
      <c r="K24" s="1154"/>
      <c r="L24" s="1153"/>
      <c r="M24" s="1153"/>
      <c r="N24" s="1154"/>
      <c r="O24" s="1154"/>
      <c r="P24" s="1155"/>
      <c r="Q24" s="1153"/>
      <c r="R24" s="1154"/>
      <c r="S24" s="1154"/>
      <c r="T24" s="1153"/>
      <c r="U24" s="1156"/>
      <c r="V24" s="1148"/>
      <c r="W24" s="1148"/>
      <c r="X24" s="1148"/>
      <c r="Y24" s="1148"/>
      <c r="Z24" s="1148"/>
      <c r="AA24" s="1148"/>
      <c r="AB24" s="1148"/>
      <c r="AC24" s="1148"/>
      <c r="AD24" s="1148"/>
      <c r="AE24" s="1148"/>
      <c r="AF24" s="1148"/>
      <c r="AG24" s="1148"/>
      <c r="AH24" s="1148"/>
      <c r="AI24" s="1148"/>
      <c r="AJ24" s="1148"/>
      <c r="AK24" s="1148"/>
      <c r="AL24" s="1148"/>
      <c r="AM24" s="1148"/>
      <c r="AN24" s="1148"/>
      <c r="AO24" s="1148"/>
      <c r="AP24" s="1148"/>
      <c r="AQ24" s="1148"/>
      <c r="AR24" s="1148"/>
      <c r="AS24" s="1148"/>
      <c r="AT24" s="1148"/>
      <c r="AU24" s="1148"/>
      <c r="AV24" s="1148"/>
      <c r="AW24" s="1148"/>
      <c r="AX24" s="1148"/>
      <c r="AY24" s="1148"/>
      <c r="AZ24" s="1148"/>
      <c r="BA24" s="1148"/>
      <c r="BB24" s="1148"/>
      <c r="BC24" s="1148"/>
      <c r="BD24" s="1148"/>
      <c r="BE24" s="1148"/>
      <c r="BF24" s="1148"/>
      <c r="BG24" s="1148"/>
      <c r="BH24" s="1148"/>
      <c r="BI24" s="1148"/>
      <c r="BJ24" s="1148"/>
      <c r="BK24" s="1148"/>
      <c r="BL24" s="1148"/>
      <c r="BM24" s="1148"/>
      <c r="BN24" s="1148"/>
      <c r="BO24" s="1148"/>
      <c r="BP24" s="1148"/>
      <c r="BQ24" s="1148"/>
      <c r="BR24" s="1148"/>
      <c r="BS24" s="1148"/>
      <c r="BT24" s="1148"/>
      <c r="BU24" s="1148"/>
      <c r="BV24" s="1148"/>
      <c r="BW24" s="1148"/>
      <c r="BX24" s="1148"/>
      <c r="BY24" s="1148"/>
      <c r="BZ24" s="1148"/>
      <c r="CA24" s="1148"/>
      <c r="CB24" s="1148"/>
      <c r="CC24" s="1148"/>
      <c r="CD24" s="1148"/>
      <c r="CE24" s="1148"/>
      <c r="CF24" s="1148"/>
      <c r="CG24" s="1148"/>
      <c r="CH24" s="1148"/>
      <c r="CI24" s="1148"/>
      <c r="CJ24" s="1148"/>
      <c r="CK24" s="1148"/>
      <c r="CL24" s="1148"/>
      <c r="CM24" s="1148"/>
      <c r="CN24" s="1148"/>
      <c r="CO24" s="1148"/>
      <c r="CP24" s="1148"/>
      <c r="CQ24" s="1148"/>
      <c r="CR24" s="1148"/>
      <c r="CS24" s="1148"/>
      <c r="CT24" s="1148"/>
      <c r="CU24" s="1148"/>
      <c r="CV24" s="1148"/>
      <c r="CW24" s="1148"/>
      <c r="CX24" s="1148"/>
      <c r="CY24" s="1148"/>
      <c r="CZ24" s="1148"/>
      <c r="DA24" s="1148"/>
      <c r="DB24" s="1148"/>
      <c r="DC24" s="1148"/>
      <c r="DD24" s="1148"/>
      <c r="DE24" s="1148"/>
      <c r="DF24" s="1148"/>
      <c r="DG24" s="1148"/>
      <c r="DH24" s="1148"/>
      <c r="DI24" s="1148"/>
      <c r="DJ24" s="1148"/>
      <c r="DK24" s="1148"/>
      <c r="DL24" s="1148"/>
      <c r="DM24" s="1148"/>
      <c r="DN24" s="1148"/>
      <c r="DO24" s="1148"/>
      <c r="DP24" s="1148"/>
      <c r="DQ24" s="1148"/>
      <c r="DR24" s="1148"/>
      <c r="DS24" s="1148"/>
      <c r="DT24" s="1148"/>
      <c r="DU24" s="1148"/>
      <c r="DV24" s="1148"/>
      <c r="DW24" s="1148"/>
      <c r="DX24" s="1148"/>
      <c r="DY24" s="1148"/>
      <c r="DZ24" s="1148"/>
      <c r="EA24" s="1148"/>
    </row>
    <row r="25" spans="1:131" s="1157" customFormat="1" ht="40.5" hidden="1" customHeight="1">
      <c r="A25" s="1536" t="s">
        <v>805</v>
      </c>
      <c r="B25" s="1536"/>
      <c r="C25" s="1536"/>
      <c r="D25" s="1536"/>
      <c r="E25" s="1536"/>
      <c r="F25" s="1536"/>
      <c r="G25" s="1536"/>
      <c r="H25" s="1536"/>
      <c r="I25" s="1536"/>
      <c r="J25" s="1536"/>
      <c r="K25" s="1536"/>
      <c r="L25" s="1536"/>
      <c r="M25" s="1536"/>
      <c r="N25" s="1536"/>
      <c r="O25" s="1536"/>
      <c r="P25" s="1536"/>
      <c r="Q25" s="1536"/>
      <c r="R25" s="1536"/>
      <c r="S25" s="1536"/>
      <c r="T25" s="1536"/>
      <c r="U25" s="1536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</row>
    <row r="26" spans="1:131" s="1157" customFormat="1" ht="30" hidden="1" customHeight="1">
      <c r="A26" s="1158" t="s">
        <v>806</v>
      </c>
      <c r="B26" s="1158"/>
      <c r="C26" s="1158"/>
      <c r="D26" s="1158"/>
      <c r="E26" s="1158"/>
      <c r="F26" s="1158"/>
      <c r="G26" s="1158"/>
      <c r="H26" s="1158"/>
      <c r="I26" s="1158"/>
      <c r="J26" s="1159"/>
      <c r="K26" s="1159"/>
      <c r="L26" s="1159"/>
      <c r="M26" s="1160"/>
      <c r="N26" s="1159"/>
      <c r="O26" s="1159"/>
      <c r="P26" s="1159"/>
      <c r="Q26" s="1159"/>
      <c r="R26" s="1159"/>
      <c r="S26" s="1161"/>
      <c r="T26" s="1161"/>
      <c r="U26" s="1161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</row>
    <row r="27" spans="1:131" s="1157" customFormat="1" ht="30" hidden="1" customHeight="1">
      <c r="A27" s="1158" t="s">
        <v>807</v>
      </c>
      <c r="B27" s="1158"/>
      <c r="C27" s="1158"/>
      <c r="D27" s="1158"/>
      <c r="E27" s="1158"/>
      <c r="F27" s="1158"/>
      <c r="G27" s="1158"/>
      <c r="H27" s="1158"/>
      <c r="I27" s="1158"/>
      <c r="J27" s="1158"/>
      <c r="K27" s="1158"/>
      <c r="L27" s="1158"/>
      <c r="M27" s="1162"/>
      <c r="N27" s="1158"/>
      <c r="O27" s="1158"/>
      <c r="P27" s="1158"/>
      <c r="Q27" s="1158"/>
      <c r="R27" s="1158"/>
      <c r="S27" s="1158"/>
      <c r="T27" s="1158"/>
      <c r="U27" s="1163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</row>
    <row r="28" spans="1:131" s="1157" customFormat="1" ht="30" hidden="1" customHeight="1">
      <c r="A28" s="1158" t="s">
        <v>808</v>
      </c>
      <c r="B28" s="1158"/>
      <c r="C28" s="1158"/>
      <c r="D28" s="1158"/>
      <c r="E28" s="1158"/>
      <c r="F28" s="1158"/>
      <c r="G28" s="1158"/>
      <c r="H28" s="1158"/>
      <c r="I28" s="1158"/>
      <c r="J28" s="1159"/>
      <c r="K28" s="1159"/>
      <c r="L28" s="1159"/>
      <c r="M28" s="1160"/>
      <c r="N28" s="1159"/>
      <c r="O28" s="1160"/>
      <c r="P28" s="1159"/>
      <c r="Q28" s="1159"/>
      <c r="R28" s="1159"/>
      <c r="S28" s="1164"/>
      <c r="T28" s="1164"/>
      <c r="U28" s="1164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</row>
    <row r="29" spans="1:131" s="1157" customFormat="1" ht="30" hidden="1" customHeight="1">
      <c r="A29" s="1159" t="s">
        <v>809</v>
      </c>
      <c r="B29" s="1164"/>
      <c r="C29" s="1164"/>
      <c r="D29" s="1164"/>
      <c r="E29" s="1164"/>
      <c r="F29" s="1164"/>
      <c r="G29" s="1164"/>
      <c r="H29" s="1164"/>
      <c r="I29" s="1164"/>
      <c r="J29" s="1164"/>
      <c r="K29" s="1164"/>
      <c r="L29" s="1164"/>
      <c r="M29" s="1164"/>
      <c r="N29" s="1164"/>
      <c r="O29" s="1164"/>
      <c r="P29" s="1164"/>
      <c r="Q29" s="1164"/>
      <c r="R29" s="1164"/>
      <c r="S29" s="1161"/>
      <c r="T29" s="1161"/>
      <c r="U29" s="1161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</row>
    <row r="30" spans="1:131" s="1157" customFormat="1" ht="30" hidden="1" customHeight="1">
      <c r="A30" s="1165" t="s">
        <v>810</v>
      </c>
      <c r="B30" s="1166"/>
      <c r="C30" s="1166"/>
      <c r="D30" s="1166"/>
      <c r="E30" s="1166"/>
      <c r="F30" s="1166"/>
      <c r="G30" s="1166"/>
      <c r="H30" s="1166"/>
      <c r="I30" s="1166"/>
      <c r="J30" s="1166"/>
      <c r="K30" s="1166"/>
      <c r="L30" s="1166"/>
      <c r="M30" s="1160"/>
      <c r="N30" s="1159"/>
      <c r="O30" s="1159"/>
      <c r="P30" s="1159"/>
      <c r="Q30" s="1159"/>
      <c r="R30" s="1159"/>
      <c r="S30" s="1161"/>
      <c r="T30" s="1161"/>
      <c r="U30" s="1161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</row>
    <row r="31" spans="1:131" s="1157" customFormat="1" ht="30" hidden="1" customHeight="1">
      <c r="A31" s="1158" t="s">
        <v>811</v>
      </c>
      <c r="B31" s="1167"/>
      <c r="C31" s="1167"/>
      <c r="D31" s="1167"/>
      <c r="E31" s="1167"/>
      <c r="F31" s="1167"/>
      <c r="G31" s="1167"/>
      <c r="H31" s="1167"/>
      <c r="I31" s="1167"/>
      <c r="J31" s="1167"/>
      <c r="K31" s="1167"/>
      <c r="L31" s="1167"/>
      <c r="M31" s="1159"/>
      <c r="N31" s="1159"/>
      <c r="O31" s="1159"/>
      <c r="P31" s="1159"/>
      <c r="Q31" s="1159"/>
      <c r="R31" s="1159"/>
      <c r="S31" s="1161"/>
      <c r="T31" s="1161"/>
      <c r="U31" s="1161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</row>
    <row r="32" spans="1:131" s="1157" customFormat="1" ht="30" hidden="1" customHeight="1">
      <c r="A32" s="1158" t="s">
        <v>812</v>
      </c>
      <c r="B32" s="1159"/>
      <c r="C32" s="1159"/>
      <c r="D32" s="1159"/>
      <c r="E32" s="1159"/>
      <c r="F32" s="1159"/>
      <c r="G32" s="1159"/>
      <c r="H32" s="1159"/>
      <c r="I32" s="1159"/>
      <c r="J32" s="1159"/>
      <c r="K32" s="1159"/>
      <c r="L32" s="1159"/>
      <c r="M32" s="1159"/>
      <c r="N32" s="1159"/>
      <c r="O32" s="1159"/>
      <c r="P32" s="1159"/>
      <c r="Q32" s="1159"/>
      <c r="R32" s="1159"/>
      <c r="S32" s="1161"/>
      <c r="T32" s="1161"/>
      <c r="U32" s="1161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</row>
    <row r="33" spans="1:131" s="1157" customFormat="1" ht="30" hidden="1" customHeight="1">
      <c r="A33" s="1165" t="s">
        <v>813</v>
      </c>
      <c r="B33" s="1166"/>
      <c r="C33" s="1166"/>
      <c r="D33" s="1159"/>
      <c r="E33" s="1159"/>
      <c r="F33" s="1159"/>
      <c r="G33" s="1159"/>
      <c r="H33" s="1159"/>
      <c r="I33" s="1159"/>
      <c r="J33" s="1159"/>
      <c r="K33" s="1159"/>
      <c r="L33" s="1159"/>
      <c r="M33" s="1159"/>
      <c r="N33" s="1159"/>
      <c r="O33" s="1159"/>
      <c r="P33" s="1159"/>
      <c r="Q33" s="1159"/>
      <c r="R33" s="1159"/>
      <c r="S33" s="1161"/>
      <c r="T33" s="1161"/>
      <c r="U33" s="1161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</row>
    <row r="34" spans="1:131" s="1157" customFormat="1" ht="30" hidden="1" customHeight="1">
      <c r="A34" s="1168" t="s">
        <v>728</v>
      </c>
      <c r="B34" s="1159"/>
      <c r="C34" s="1159"/>
      <c r="D34" s="1159"/>
      <c r="E34" s="1159"/>
      <c r="F34" s="1159"/>
      <c r="G34" s="1159"/>
      <c r="H34" s="1159"/>
      <c r="I34" s="1159"/>
      <c r="J34" s="1159"/>
      <c r="K34" s="1159"/>
      <c r="L34" s="1159"/>
      <c r="M34" s="1159"/>
      <c r="N34" s="1159"/>
      <c r="O34" s="1159"/>
      <c r="P34" s="1159"/>
      <c r="Q34" s="1159"/>
      <c r="R34" s="1159"/>
      <c r="S34" s="1161"/>
      <c r="T34" s="1161"/>
      <c r="U34" s="1161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</row>
    <row r="35" spans="1:131" s="1157" customFormat="1" ht="30" hidden="1" customHeight="1">
      <c r="A35" s="1168" t="s">
        <v>814</v>
      </c>
      <c r="B35" s="1159"/>
      <c r="C35" s="1159"/>
      <c r="D35" s="1159"/>
      <c r="E35" s="1159"/>
      <c r="F35" s="1159"/>
      <c r="G35" s="1159"/>
      <c r="H35" s="1159"/>
      <c r="I35" s="1159"/>
      <c r="J35" s="1159"/>
      <c r="K35" s="1159"/>
      <c r="L35" s="1159"/>
      <c r="M35" s="1159"/>
      <c r="N35" s="1159"/>
      <c r="O35" s="1159"/>
      <c r="P35" s="1159"/>
      <c r="Q35" s="1159"/>
      <c r="R35" s="1159"/>
      <c r="S35" s="1161"/>
      <c r="T35" s="1161"/>
      <c r="U35" s="1161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</row>
    <row r="36" spans="1:131" s="1157" customFormat="1" ht="30" customHeight="1">
      <c r="A36" s="1169"/>
      <c r="B36" s="1159"/>
      <c r="C36" s="1159"/>
      <c r="D36" s="1159"/>
      <c r="E36" s="1159"/>
      <c r="F36" s="1159"/>
      <c r="G36" s="1159"/>
      <c r="H36" s="1159"/>
      <c r="I36" s="1159"/>
      <c r="J36" s="1159"/>
      <c r="K36" s="1159"/>
      <c r="L36" s="1159"/>
      <c r="M36" s="1159"/>
      <c r="N36" s="1159"/>
      <c r="O36" s="1159"/>
      <c r="P36" s="1159"/>
      <c r="Q36" s="1159"/>
      <c r="R36" s="1159"/>
      <c r="S36" s="1161"/>
      <c r="T36" s="1161"/>
      <c r="U36" s="1161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</row>
    <row r="37" spans="1:131" s="1182" customFormat="1" ht="23.25" customHeight="1">
      <c r="A37" s="1283" t="s">
        <v>831</v>
      </c>
      <c r="B37" s="1283"/>
      <c r="C37" s="1283"/>
      <c r="D37" s="1283"/>
      <c r="E37" s="1283"/>
      <c r="F37" s="1283"/>
      <c r="G37" s="1283"/>
      <c r="H37" s="1284" t="s">
        <v>816</v>
      </c>
      <c r="I37" s="1284"/>
      <c r="J37" s="1284"/>
      <c r="K37" s="1284"/>
      <c r="L37" s="1179"/>
      <c r="M37" s="1179"/>
      <c r="N37" s="1179"/>
      <c r="O37" s="1179"/>
      <c r="Q37" s="1179"/>
      <c r="R37" s="1179" t="s">
        <v>830</v>
      </c>
      <c r="S37" s="1180"/>
      <c r="T37" s="1180"/>
      <c r="U37" s="1180"/>
      <c r="V37" s="1181"/>
      <c r="W37" s="1181"/>
      <c r="X37" s="1181"/>
      <c r="Y37" s="1181"/>
      <c r="Z37" s="1181"/>
      <c r="AA37" s="1181"/>
      <c r="AB37" s="1181"/>
      <c r="AC37" s="1181"/>
      <c r="AD37" s="1181"/>
      <c r="AE37" s="1181"/>
      <c r="AF37" s="1181"/>
      <c r="AG37" s="1181"/>
      <c r="AH37" s="1181"/>
      <c r="AI37" s="1181"/>
      <c r="AJ37" s="1181"/>
      <c r="AK37" s="1181"/>
      <c r="AL37" s="1181"/>
      <c r="AM37" s="1181"/>
      <c r="AN37" s="1181"/>
      <c r="AO37" s="1181"/>
      <c r="AP37" s="1181"/>
      <c r="AQ37" s="1181"/>
      <c r="AR37" s="1181"/>
      <c r="AS37" s="1181"/>
      <c r="AT37" s="1181"/>
      <c r="AU37" s="1181"/>
      <c r="AV37" s="1181"/>
      <c r="AW37" s="1181"/>
      <c r="AX37" s="1181"/>
      <c r="AY37" s="1181"/>
      <c r="AZ37" s="1181"/>
      <c r="BA37" s="1181"/>
      <c r="BB37" s="1181"/>
      <c r="BC37" s="1181"/>
      <c r="BD37" s="1181"/>
      <c r="BE37" s="1181"/>
      <c r="BF37" s="1181"/>
      <c r="BG37" s="1181"/>
      <c r="BH37" s="1181"/>
      <c r="BI37" s="1181"/>
      <c r="BJ37" s="1181"/>
      <c r="BK37" s="1181"/>
      <c r="BL37" s="1181"/>
      <c r="BM37" s="1181"/>
      <c r="BN37" s="1181"/>
      <c r="BO37" s="1181"/>
      <c r="BP37" s="1181"/>
      <c r="BQ37" s="1181"/>
      <c r="BR37" s="1181"/>
      <c r="BS37" s="1181"/>
      <c r="BT37" s="1181"/>
      <c r="BU37" s="1181"/>
      <c r="BV37" s="1181"/>
      <c r="BW37" s="1181"/>
      <c r="BX37" s="1181"/>
      <c r="BY37" s="1181"/>
      <c r="BZ37" s="1181"/>
      <c r="CA37" s="1181"/>
      <c r="CB37" s="1181"/>
      <c r="CC37" s="1181"/>
      <c r="CD37" s="1181"/>
      <c r="CE37" s="1181"/>
      <c r="CF37" s="1181"/>
      <c r="CG37" s="1181"/>
      <c r="CH37" s="1181"/>
      <c r="CI37" s="1181"/>
      <c r="CJ37" s="1181"/>
      <c r="CK37" s="1181"/>
      <c r="CL37" s="1181"/>
      <c r="CM37" s="1181"/>
      <c r="CN37" s="1181"/>
      <c r="CO37" s="1181"/>
      <c r="CP37" s="1181"/>
      <c r="CQ37" s="1181"/>
      <c r="CR37" s="1181"/>
      <c r="CS37" s="1181"/>
      <c r="CT37" s="1181"/>
      <c r="CU37" s="1181"/>
      <c r="CV37" s="1181"/>
      <c r="CW37" s="1181"/>
      <c r="CX37" s="1181"/>
      <c r="CY37" s="1181"/>
      <c r="CZ37" s="1181"/>
      <c r="DA37" s="1181"/>
      <c r="DB37" s="1181"/>
      <c r="DC37" s="1181"/>
      <c r="DD37" s="1181"/>
      <c r="DE37" s="1181"/>
      <c r="DF37" s="1181"/>
      <c r="DG37" s="1181"/>
      <c r="DH37" s="1181"/>
      <c r="DI37" s="1181"/>
      <c r="DJ37" s="1181"/>
      <c r="DK37" s="1181"/>
      <c r="DL37" s="1181"/>
      <c r="DM37" s="1181"/>
      <c r="DN37" s="1181"/>
      <c r="DO37" s="1181"/>
      <c r="DP37" s="1181"/>
      <c r="DQ37" s="1181"/>
      <c r="DR37" s="1181"/>
      <c r="DS37" s="1181"/>
      <c r="DT37" s="1181"/>
      <c r="DU37" s="1181"/>
      <c r="DV37" s="1181"/>
      <c r="DW37" s="1181"/>
      <c r="DX37" s="1181"/>
      <c r="DY37" s="1181"/>
      <c r="DZ37" s="1181"/>
      <c r="EA37" s="1181"/>
    </row>
    <row r="38" spans="1:131" s="1157" customFormat="1" ht="25.5" customHeight="1">
      <c r="A38" s="1254"/>
      <c r="B38" s="1254"/>
      <c r="C38" s="1254"/>
      <c r="D38" s="1254"/>
      <c r="E38" s="1254"/>
      <c r="F38" s="1254"/>
      <c r="G38" s="1254"/>
      <c r="H38" s="1255"/>
      <c r="I38" s="1255"/>
      <c r="J38" s="1255"/>
      <c r="K38" s="1255"/>
      <c r="L38" s="1171"/>
      <c r="M38" s="1171"/>
      <c r="N38" s="1171"/>
      <c r="O38" s="1171"/>
      <c r="P38" s="1171"/>
      <c r="Q38" s="1171"/>
      <c r="R38" s="1171"/>
      <c r="S38" s="1161"/>
      <c r="T38" s="1161"/>
      <c r="U38" s="1161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</row>
    <row r="39" spans="1:131" s="1157" customFormat="1" ht="24.75" customHeight="1">
      <c r="A39" s="1173"/>
      <c r="B39" s="1174"/>
      <c r="C39" s="1174"/>
      <c r="D39" s="1175"/>
      <c r="E39" s="1176"/>
      <c r="F39" s="1177"/>
      <c r="G39" s="1177"/>
      <c r="H39" s="1177"/>
      <c r="I39" s="1177"/>
      <c r="J39" s="1176"/>
      <c r="K39" s="1176"/>
      <c r="L39" s="1176"/>
      <c r="M39" s="1176"/>
      <c r="N39" s="1176"/>
      <c r="O39" s="1176"/>
      <c r="P39" s="1176"/>
      <c r="Q39" s="1176"/>
      <c r="R39" s="1176"/>
      <c r="S39" s="1176"/>
      <c r="T39" s="1176"/>
      <c r="U39" s="1176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</row>
    <row r="43" spans="1:131" ht="20.25">
      <c r="A43" s="1169"/>
    </row>
    <row r="44" spans="1:131" ht="20.25">
      <c r="A44" s="1169"/>
    </row>
  </sheetData>
  <mergeCells count="34">
    <mergeCell ref="A1:U1"/>
    <mergeCell ref="T2:U2"/>
    <mergeCell ref="A4:U4"/>
    <mergeCell ref="A6:A11"/>
    <mergeCell ref="B6:B11"/>
    <mergeCell ref="C6:C11"/>
    <mergeCell ref="D6:D10"/>
    <mergeCell ref="E6:E10"/>
    <mergeCell ref="F6:I7"/>
    <mergeCell ref="J6:U6"/>
    <mergeCell ref="J7:M7"/>
    <mergeCell ref="N7:Q7"/>
    <mergeCell ref="R7:U7"/>
    <mergeCell ref="F8:F10"/>
    <mergeCell ref="G8:G10"/>
    <mergeCell ref="H8:H10"/>
    <mergeCell ref="I8:I10"/>
    <mergeCell ref="J8:J10"/>
    <mergeCell ref="K8:K10"/>
    <mergeCell ref="L8:L10"/>
    <mergeCell ref="A20:A23"/>
    <mergeCell ref="A25:U25"/>
    <mergeCell ref="S8:S10"/>
    <mergeCell ref="T8:T10"/>
    <mergeCell ref="U8:U10"/>
    <mergeCell ref="A12:A15"/>
    <mergeCell ref="A16:A19"/>
    <mergeCell ref="C16:C19"/>
    <mergeCell ref="M8:M10"/>
    <mergeCell ref="N8:N10"/>
    <mergeCell ref="O8:O10"/>
    <mergeCell ref="P8:P10"/>
    <mergeCell ref="Q8:Q10"/>
    <mergeCell ref="R8:R10"/>
  </mergeCells>
  <printOptions horizontalCentered="1"/>
  <pageMargins left="0.39370078740157483" right="0.39370078740157483" top="0.98425196850393704" bottom="0.78740157480314965" header="0.78740157480314965" footer="0.39370078740157483"/>
  <pageSetup paperSize="9" scale="33" orientation="landscape" r:id="rId1"/>
  <headerFooter>
    <oddHeader>&amp;R&amp;"Arial CE,Tučné"&amp;22Tabulka č. 9/d</oddHeader>
    <oddFooter xml:space="preserve">&amp;C&amp;20&amp;P+29
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EA44"/>
  <sheetViews>
    <sheetView showGridLines="0" zoomScale="53" zoomScaleNormal="53" workbookViewId="0">
      <selection sqref="A1:U1"/>
    </sheetView>
  </sheetViews>
  <sheetFormatPr defaultColWidth="9.140625" defaultRowHeight="15"/>
  <cols>
    <col min="1" max="1" width="59.5703125" style="29" customWidth="1"/>
    <col min="2" max="2" width="35.5703125" style="29" customWidth="1"/>
    <col min="3" max="3" width="17.85546875" style="29" customWidth="1"/>
    <col min="4" max="4" width="16.5703125" style="29" customWidth="1"/>
    <col min="5" max="5" width="15.5703125" style="29" customWidth="1"/>
    <col min="6" max="6" width="22.7109375" style="29" customWidth="1"/>
    <col min="7" max="7" width="16.28515625" style="29" customWidth="1"/>
    <col min="8" max="8" width="19.28515625" style="29" customWidth="1"/>
    <col min="9" max="9" width="14.5703125" style="29" customWidth="1"/>
    <col min="10" max="10" width="16.140625" style="29" customWidth="1"/>
    <col min="11" max="11" width="15.140625" style="29" customWidth="1"/>
    <col min="12" max="12" width="19.28515625" style="29" customWidth="1"/>
    <col min="13" max="13" width="18.42578125" style="29" customWidth="1"/>
    <col min="14" max="14" width="16" style="29" customWidth="1"/>
    <col min="15" max="15" width="16.85546875" style="29" bestFit="1" customWidth="1"/>
    <col min="16" max="16" width="19.28515625" style="29" customWidth="1"/>
    <col min="17" max="17" width="21" style="29" customWidth="1"/>
    <col min="18" max="18" width="16.140625" style="29" customWidth="1"/>
    <col min="19" max="19" width="14.42578125" style="29" customWidth="1"/>
    <col min="20" max="20" width="19.28515625" style="29" customWidth="1"/>
    <col min="21" max="21" width="20.42578125" style="29" customWidth="1"/>
    <col min="22" max="22" width="13.5703125" style="32" bestFit="1" customWidth="1"/>
    <col min="23" max="131" width="9.140625" style="32" customWidth="1"/>
    <col min="132" max="16384" width="9.140625" style="29"/>
  </cols>
  <sheetData>
    <row r="1" spans="1:131" ht="20.100000000000001" customHeight="1">
      <c r="A1" s="1583"/>
      <c r="B1" s="1583"/>
      <c r="C1" s="1583"/>
      <c r="D1" s="1583"/>
      <c r="E1" s="1583"/>
      <c r="F1" s="1583"/>
      <c r="G1" s="1583"/>
      <c r="H1" s="1583"/>
      <c r="I1" s="1583"/>
      <c r="J1" s="1583"/>
      <c r="K1" s="1583"/>
      <c r="L1" s="1583"/>
      <c r="M1" s="1583"/>
      <c r="N1" s="1583"/>
      <c r="O1" s="1583"/>
      <c r="P1" s="1583"/>
      <c r="Q1" s="1583"/>
      <c r="R1" s="1583"/>
      <c r="S1" s="1583"/>
      <c r="T1" s="1583"/>
      <c r="U1" s="1583"/>
    </row>
    <row r="2" spans="1:131" ht="20.100000000000001" customHeight="1">
      <c r="A2" s="1288" t="s">
        <v>821</v>
      </c>
      <c r="B2" s="1136"/>
      <c r="C2" s="1136"/>
      <c r="D2" s="1136"/>
      <c r="E2" s="1136"/>
      <c r="F2" s="1136"/>
      <c r="G2" s="1136"/>
      <c r="H2" s="1136"/>
      <c r="I2" s="1136"/>
      <c r="J2" s="1136"/>
      <c r="K2" s="1136"/>
      <c r="L2" s="1136"/>
      <c r="M2" s="1136"/>
      <c r="N2" s="1136"/>
      <c r="O2" s="1136"/>
      <c r="P2" s="1136"/>
      <c r="Q2" s="1136"/>
      <c r="R2" s="1136"/>
      <c r="S2" s="1136"/>
      <c r="T2" s="1548"/>
      <c r="U2" s="1548"/>
    </row>
    <row r="3" spans="1:131" ht="33.75" customHeight="1">
      <c r="A3" s="1282" t="s">
        <v>828</v>
      </c>
      <c r="B3" s="1136"/>
      <c r="C3" s="1136"/>
      <c r="D3" s="1136"/>
      <c r="E3" s="1136"/>
      <c r="F3" s="1136"/>
      <c r="G3" s="1136"/>
      <c r="H3" s="1136"/>
      <c r="I3" s="1136"/>
      <c r="J3" s="1136"/>
      <c r="K3" s="1136"/>
      <c r="L3" s="1136"/>
      <c r="M3" s="1136"/>
      <c r="N3" s="1136"/>
      <c r="O3" s="1136"/>
      <c r="P3" s="1136"/>
      <c r="Q3" s="1136"/>
      <c r="R3" s="1136"/>
      <c r="S3" s="1136"/>
      <c r="T3" s="1219"/>
      <c r="U3" s="1219"/>
    </row>
    <row r="4" spans="1:131" ht="71.25" customHeight="1">
      <c r="A4" s="1549" t="s">
        <v>818</v>
      </c>
      <c r="B4" s="1549"/>
      <c r="C4" s="1549"/>
      <c r="D4" s="1549"/>
      <c r="E4" s="1549"/>
      <c r="F4" s="1549"/>
      <c r="G4" s="1549"/>
      <c r="H4" s="1549"/>
      <c r="I4" s="1549"/>
      <c r="J4" s="1549"/>
      <c r="K4" s="1549"/>
      <c r="L4" s="1549"/>
      <c r="M4" s="1549"/>
      <c r="N4" s="1549"/>
      <c r="O4" s="1549"/>
      <c r="P4" s="1549"/>
      <c r="Q4" s="1549"/>
      <c r="R4" s="1549"/>
      <c r="S4" s="1549"/>
      <c r="T4" s="1549"/>
      <c r="U4" s="1549"/>
    </row>
    <row r="5" spans="1:131" ht="64.5" customHeight="1" thickBot="1">
      <c r="A5" s="1138"/>
      <c r="B5" s="1138"/>
      <c r="C5" s="1138"/>
      <c r="D5" s="1138"/>
      <c r="E5" s="1138"/>
      <c r="F5" s="1138"/>
      <c r="G5" s="1138"/>
      <c r="H5" s="1138"/>
      <c r="I5" s="1138"/>
      <c r="J5" s="1138"/>
      <c r="K5" s="1138"/>
      <c r="L5" s="1138"/>
      <c r="M5" s="1138"/>
      <c r="N5" s="1138"/>
      <c r="O5" s="1138"/>
      <c r="P5" s="1138"/>
      <c r="Q5" s="1138"/>
      <c r="R5" s="1138"/>
      <c r="S5" s="1138"/>
      <c r="T5" s="1138"/>
      <c r="U5" s="1138"/>
    </row>
    <row r="6" spans="1:131" ht="45.75" customHeight="1">
      <c r="A6" s="1550"/>
      <c r="B6" s="1553" t="s">
        <v>782</v>
      </c>
      <c r="C6" s="1553" t="s">
        <v>783</v>
      </c>
      <c r="D6" s="1553" t="s">
        <v>784</v>
      </c>
      <c r="E6" s="1553" t="s">
        <v>785</v>
      </c>
      <c r="F6" s="1585" t="s">
        <v>786</v>
      </c>
      <c r="G6" s="1586"/>
      <c r="H6" s="1586"/>
      <c r="I6" s="1586"/>
      <c r="J6" s="1589" t="s">
        <v>787</v>
      </c>
      <c r="K6" s="1590"/>
      <c r="L6" s="1590"/>
      <c r="M6" s="1590"/>
      <c r="N6" s="1590"/>
      <c r="O6" s="1590"/>
      <c r="P6" s="1590"/>
      <c r="Q6" s="1590"/>
      <c r="R6" s="1590"/>
      <c r="S6" s="1590"/>
      <c r="T6" s="1590"/>
      <c r="U6" s="1591"/>
    </row>
    <row r="7" spans="1:131" ht="51.75" customHeight="1">
      <c r="A7" s="1551"/>
      <c r="B7" s="1554"/>
      <c r="C7" s="1554"/>
      <c r="D7" s="1554"/>
      <c r="E7" s="1554"/>
      <c r="F7" s="1587"/>
      <c r="G7" s="1588"/>
      <c r="H7" s="1588"/>
      <c r="I7" s="1588"/>
      <c r="J7" s="1580" t="s">
        <v>788</v>
      </c>
      <c r="K7" s="1581"/>
      <c r="L7" s="1581"/>
      <c r="M7" s="1582"/>
      <c r="N7" s="1580" t="s">
        <v>789</v>
      </c>
      <c r="O7" s="1581"/>
      <c r="P7" s="1581"/>
      <c r="Q7" s="1582"/>
      <c r="R7" s="1581" t="s">
        <v>17</v>
      </c>
      <c r="S7" s="1581"/>
      <c r="T7" s="1581"/>
      <c r="U7" s="1582"/>
    </row>
    <row r="8" spans="1:131" ht="21" customHeight="1">
      <c r="A8" s="1551"/>
      <c r="B8" s="1554"/>
      <c r="C8" s="1554"/>
      <c r="D8" s="1554"/>
      <c r="E8" s="1554"/>
      <c r="F8" s="1567" t="s">
        <v>790</v>
      </c>
      <c r="G8" s="1567" t="s">
        <v>791</v>
      </c>
      <c r="H8" s="1567" t="s">
        <v>792</v>
      </c>
      <c r="I8" s="1527" t="s">
        <v>17</v>
      </c>
      <c r="J8" s="1530" t="s">
        <v>793</v>
      </c>
      <c r="K8" s="1533" t="s">
        <v>794</v>
      </c>
      <c r="L8" s="1533" t="s">
        <v>795</v>
      </c>
      <c r="M8" s="1537" t="s">
        <v>17</v>
      </c>
      <c r="N8" s="1530" t="s">
        <v>793</v>
      </c>
      <c r="O8" s="1533" t="s">
        <v>794</v>
      </c>
      <c r="P8" s="1533" t="s">
        <v>795</v>
      </c>
      <c r="Q8" s="1537" t="s">
        <v>17</v>
      </c>
      <c r="R8" s="1524" t="s">
        <v>793</v>
      </c>
      <c r="S8" s="1533" t="s">
        <v>794</v>
      </c>
      <c r="T8" s="1533" t="s">
        <v>795</v>
      </c>
      <c r="U8" s="1537" t="s">
        <v>17</v>
      </c>
    </row>
    <row r="9" spans="1:131" ht="12.75" customHeight="1">
      <c r="A9" s="1551"/>
      <c r="B9" s="1554"/>
      <c r="C9" s="1554"/>
      <c r="D9" s="1554"/>
      <c r="E9" s="1554"/>
      <c r="F9" s="1554"/>
      <c r="G9" s="1554"/>
      <c r="H9" s="1554"/>
      <c r="I9" s="1528"/>
      <c r="J9" s="1531"/>
      <c r="K9" s="1534"/>
      <c r="L9" s="1534"/>
      <c r="M9" s="1538"/>
      <c r="N9" s="1531"/>
      <c r="O9" s="1534"/>
      <c r="P9" s="1534"/>
      <c r="Q9" s="1538"/>
      <c r="R9" s="1525"/>
      <c r="S9" s="1534"/>
      <c r="T9" s="1534"/>
      <c r="U9" s="1538"/>
    </row>
    <row r="10" spans="1:131" ht="134.25" customHeight="1">
      <c r="A10" s="1551"/>
      <c r="B10" s="1554"/>
      <c r="C10" s="1554"/>
      <c r="D10" s="1556"/>
      <c r="E10" s="1556"/>
      <c r="F10" s="1556"/>
      <c r="G10" s="1556"/>
      <c r="H10" s="1556"/>
      <c r="I10" s="1529"/>
      <c r="J10" s="1532"/>
      <c r="K10" s="1535"/>
      <c r="L10" s="1535"/>
      <c r="M10" s="1539"/>
      <c r="N10" s="1532"/>
      <c r="O10" s="1535"/>
      <c r="P10" s="1535"/>
      <c r="Q10" s="1539"/>
      <c r="R10" s="1526"/>
      <c r="S10" s="1535"/>
      <c r="T10" s="1535"/>
      <c r="U10" s="1539"/>
    </row>
    <row r="11" spans="1:131" s="1149" customFormat="1" ht="44.25" customHeight="1" thickBot="1">
      <c r="A11" s="1552"/>
      <c r="B11" s="1555"/>
      <c r="C11" s="1555"/>
      <c r="D11" s="1139">
        <v>1</v>
      </c>
      <c r="E11" s="1139">
        <v>2</v>
      </c>
      <c r="F11" s="1140">
        <v>3</v>
      </c>
      <c r="G11" s="1140">
        <v>4</v>
      </c>
      <c r="H11" s="1140">
        <v>5</v>
      </c>
      <c r="I11" s="1141" t="s">
        <v>796</v>
      </c>
      <c r="J11" s="1142">
        <v>7</v>
      </c>
      <c r="K11" s="1143">
        <v>8</v>
      </c>
      <c r="L11" s="1144">
        <v>9</v>
      </c>
      <c r="M11" s="1145" t="s">
        <v>797</v>
      </c>
      <c r="N11" s="1142">
        <v>11</v>
      </c>
      <c r="O11" s="1146">
        <v>12</v>
      </c>
      <c r="P11" s="1147">
        <v>13</v>
      </c>
      <c r="Q11" s="1145" t="s">
        <v>798</v>
      </c>
      <c r="R11" s="1143">
        <v>15</v>
      </c>
      <c r="S11" s="1143">
        <v>16</v>
      </c>
      <c r="T11" s="1144">
        <v>17</v>
      </c>
      <c r="U11" s="1145" t="s">
        <v>799</v>
      </c>
      <c r="V11" s="1148"/>
      <c r="W11" s="1148"/>
      <c r="X11" s="1148"/>
      <c r="Y11" s="1148"/>
      <c r="Z11" s="1148"/>
      <c r="AA11" s="1148"/>
      <c r="AB11" s="1148"/>
      <c r="AC11" s="1148"/>
      <c r="AD11" s="1148"/>
      <c r="AE11" s="1148"/>
      <c r="AF11" s="1148"/>
      <c r="AG11" s="1148"/>
      <c r="AH11" s="1148"/>
      <c r="AI11" s="1148"/>
      <c r="AJ11" s="1148"/>
      <c r="AK11" s="1148"/>
      <c r="AL11" s="1148"/>
      <c r="AM11" s="1148"/>
      <c r="AN11" s="1148"/>
      <c r="AO11" s="1148"/>
      <c r="AP11" s="1148"/>
      <c r="AQ11" s="1148"/>
      <c r="AR11" s="1148"/>
      <c r="AS11" s="1148"/>
      <c r="AT11" s="1148"/>
      <c r="AU11" s="1148"/>
      <c r="AV11" s="1148"/>
      <c r="AW11" s="1148"/>
      <c r="AX11" s="1148"/>
      <c r="AY11" s="1148"/>
      <c r="AZ11" s="1148"/>
      <c r="BA11" s="1148"/>
      <c r="BB11" s="1148"/>
      <c r="BC11" s="1148"/>
      <c r="BD11" s="1148"/>
      <c r="BE11" s="1148"/>
      <c r="BF11" s="1148"/>
      <c r="BG11" s="1148"/>
      <c r="BH11" s="1148"/>
      <c r="BI11" s="1148"/>
      <c r="BJ11" s="1148"/>
      <c r="BK11" s="1148"/>
      <c r="BL11" s="1148"/>
      <c r="BM11" s="1148"/>
      <c r="BN11" s="1148"/>
      <c r="BO11" s="1148"/>
      <c r="BP11" s="1148"/>
      <c r="BQ11" s="1148"/>
      <c r="BR11" s="1148"/>
      <c r="BS11" s="1148"/>
      <c r="BT11" s="1148"/>
      <c r="BU11" s="1148"/>
      <c r="BV11" s="1148"/>
      <c r="BW11" s="1148"/>
      <c r="BX11" s="1148"/>
      <c r="BY11" s="1148"/>
      <c r="BZ11" s="1148"/>
      <c r="CA11" s="1148"/>
      <c r="CB11" s="1148"/>
      <c r="CC11" s="1148"/>
      <c r="CD11" s="1148"/>
      <c r="CE11" s="1148"/>
      <c r="CF11" s="1148"/>
      <c r="CG11" s="1148"/>
      <c r="CH11" s="1148"/>
      <c r="CI11" s="1148"/>
      <c r="CJ11" s="1148"/>
      <c r="CK11" s="1148"/>
      <c r="CL11" s="1148"/>
      <c r="CM11" s="1148"/>
      <c r="CN11" s="1148"/>
      <c r="CO11" s="1148"/>
      <c r="CP11" s="1148"/>
      <c r="CQ11" s="1148"/>
      <c r="CR11" s="1148"/>
      <c r="CS11" s="1148"/>
      <c r="CT11" s="1148"/>
      <c r="CU11" s="1148"/>
      <c r="CV11" s="1148"/>
      <c r="CW11" s="1148"/>
      <c r="CX11" s="1148"/>
      <c r="CY11" s="1148"/>
      <c r="CZ11" s="1148"/>
      <c r="DA11" s="1148"/>
      <c r="DB11" s="1148"/>
      <c r="DC11" s="1148"/>
      <c r="DD11" s="1148"/>
      <c r="DE11" s="1148"/>
      <c r="DF11" s="1148"/>
      <c r="DG11" s="1148"/>
      <c r="DH11" s="1148"/>
      <c r="DI11" s="1148"/>
      <c r="DJ11" s="1148"/>
      <c r="DK11" s="1148"/>
      <c r="DL11" s="1148"/>
      <c r="DM11" s="1148"/>
      <c r="DN11" s="1148"/>
      <c r="DO11" s="1148"/>
      <c r="DP11" s="1148"/>
      <c r="DQ11" s="1148"/>
      <c r="DR11" s="1148"/>
      <c r="DS11" s="1148"/>
      <c r="DT11" s="1148"/>
      <c r="DU11" s="1148"/>
      <c r="DV11" s="1148"/>
      <c r="DW11" s="1148"/>
      <c r="DX11" s="1148"/>
      <c r="DY11" s="1148"/>
      <c r="DZ11" s="1148"/>
      <c r="EA11" s="1148"/>
    </row>
    <row r="12" spans="1:131" s="1149" customFormat="1" ht="35.1" customHeight="1">
      <c r="A12" s="1568" t="s">
        <v>823</v>
      </c>
      <c r="B12" s="1220" t="s">
        <v>52</v>
      </c>
      <c r="C12" s="1256"/>
      <c r="D12" s="1221"/>
      <c r="E12" s="1222"/>
      <c r="F12" s="1222"/>
      <c r="G12" s="1223"/>
      <c r="H12" s="1223"/>
      <c r="I12" s="1224"/>
      <c r="J12" s="1221"/>
      <c r="K12" s="1257"/>
      <c r="L12" s="1257"/>
      <c r="M12" s="1258"/>
      <c r="N12" s="1221"/>
      <c r="O12" s="1257"/>
      <c r="P12" s="1257"/>
      <c r="Q12" s="1258"/>
      <c r="R12" s="1221"/>
      <c r="S12" s="1257"/>
      <c r="T12" s="1257"/>
      <c r="U12" s="1258"/>
      <c r="V12" s="1148"/>
      <c r="W12" s="1148"/>
      <c r="X12" s="1148"/>
      <c r="Y12" s="1148"/>
      <c r="Z12" s="1148"/>
      <c r="AA12" s="1148"/>
      <c r="AB12" s="1148"/>
      <c r="AC12" s="1148"/>
      <c r="AD12" s="1148"/>
      <c r="AE12" s="1148"/>
      <c r="AF12" s="1148"/>
      <c r="AG12" s="1148"/>
      <c r="AH12" s="1148"/>
      <c r="AI12" s="1148"/>
      <c r="AJ12" s="1148"/>
      <c r="AK12" s="1148"/>
      <c r="AL12" s="1148"/>
      <c r="AM12" s="1148"/>
      <c r="AN12" s="1148"/>
      <c r="AO12" s="1148"/>
      <c r="AP12" s="1148"/>
      <c r="AQ12" s="1148"/>
      <c r="AR12" s="1148"/>
      <c r="AS12" s="1148"/>
      <c r="AT12" s="1148"/>
      <c r="AU12" s="1148"/>
      <c r="AV12" s="1148"/>
      <c r="AW12" s="1148"/>
      <c r="AX12" s="1148"/>
      <c r="AY12" s="1148"/>
      <c r="AZ12" s="1148"/>
      <c r="BA12" s="1148"/>
      <c r="BB12" s="1148"/>
      <c r="BC12" s="1148"/>
      <c r="BD12" s="1148"/>
      <c r="BE12" s="1148"/>
      <c r="BF12" s="1148"/>
      <c r="BG12" s="1148"/>
      <c r="BH12" s="1148"/>
      <c r="BI12" s="1148"/>
      <c r="BJ12" s="1148"/>
      <c r="BK12" s="1148"/>
      <c r="BL12" s="1148"/>
      <c r="BM12" s="1148"/>
      <c r="BN12" s="1148"/>
      <c r="BO12" s="1148"/>
      <c r="BP12" s="1148"/>
      <c r="BQ12" s="1148"/>
      <c r="BR12" s="1148"/>
      <c r="BS12" s="1148"/>
      <c r="BT12" s="1148"/>
      <c r="BU12" s="1148"/>
      <c r="BV12" s="1148"/>
      <c r="BW12" s="1148"/>
      <c r="BX12" s="1148"/>
      <c r="BY12" s="1148"/>
      <c r="BZ12" s="1148"/>
      <c r="CA12" s="1148"/>
      <c r="CB12" s="1148"/>
      <c r="CC12" s="1148"/>
      <c r="CD12" s="1148"/>
      <c r="CE12" s="1148"/>
      <c r="CF12" s="1148"/>
      <c r="CG12" s="1148"/>
      <c r="CH12" s="1148"/>
      <c r="CI12" s="1148"/>
      <c r="CJ12" s="1148"/>
      <c r="CK12" s="1148"/>
      <c r="CL12" s="1148"/>
      <c r="CM12" s="1148"/>
      <c r="CN12" s="1148"/>
      <c r="CO12" s="1148"/>
      <c r="CP12" s="1148"/>
      <c r="CQ12" s="1148"/>
      <c r="CR12" s="1148"/>
      <c r="CS12" s="1148"/>
      <c r="CT12" s="1148"/>
      <c r="CU12" s="1148"/>
      <c r="CV12" s="1148"/>
      <c r="CW12" s="1148"/>
      <c r="CX12" s="1148"/>
      <c r="CY12" s="1148"/>
      <c r="CZ12" s="1148"/>
      <c r="DA12" s="1148"/>
      <c r="DB12" s="1148"/>
      <c r="DC12" s="1148"/>
      <c r="DD12" s="1148"/>
      <c r="DE12" s="1148"/>
      <c r="DF12" s="1148"/>
      <c r="DG12" s="1148"/>
      <c r="DH12" s="1148"/>
      <c r="DI12" s="1148"/>
      <c r="DJ12" s="1148"/>
      <c r="DK12" s="1148"/>
      <c r="DL12" s="1148"/>
      <c r="DM12" s="1148"/>
      <c r="DN12" s="1148"/>
      <c r="DO12" s="1148"/>
      <c r="DP12" s="1148"/>
      <c r="DQ12" s="1148"/>
      <c r="DR12" s="1148"/>
      <c r="DS12" s="1148"/>
      <c r="DT12" s="1148"/>
      <c r="DU12" s="1148"/>
      <c r="DV12" s="1148"/>
      <c r="DW12" s="1148"/>
      <c r="DX12" s="1148"/>
      <c r="DY12" s="1148"/>
      <c r="DZ12" s="1148"/>
      <c r="EA12" s="1148"/>
    </row>
    <row r="13" spans="1:131" s="1149" customFormat="1" ht="35.1" customHeight="1">
      <c r="A13" s="1569"/>
      <c r="B13" s="1228" t="s">
        <v>800</v>
      </c>
      <c r="C13" s="1259"/>
      <c r="D13" s="1229"/>
      <c r="E13" s="1230"/>
      <c r="F13" s="1230"/>
      <c r="G13" s="1231"/>
      <c r="H13" s="1231"/>
      <c r="I13" s="1232"/>
      <c r="J13" s="1229"/>
      <c r="K13" s="1260"/>
      <c r="L13" s="1260"/>
      <c r="M13" s="1261"/>
      <c r="N13" s="1229"/>
      <c r="O13" s="1260"/>
      <c r="P13" s="1260"/>
      <c r="Q13" s="1261"/>
      <c r="R13" s="1229"/>
      <c r="S13" s="1260"/>
      <c r="T13" s="1260"/>
      <c r="U13" s="1261"/>
      <c r="V13" s="1148"/>
      <c r="W13" s="1148"/>
      <c r="X13" s="1148"/>
      <c r="Y13" s="1148"/>
      <c r="Z13" s="1148"/>
      <c r="AA13" s="1148"/>
      <c r="AB13" s="1148"/>
      <c r="AC13" s="1148"/>
      <c r="AD13" s="1148"/>
      <c r="AE13" s="1148"/>
      <c r="AF13" s="1148"/>
      <c r="AG13" s="1148"/>
      <c r="AH13" s="1148"/>
      <c r="AI13" s="1148"/>
      <c r="AJ13" s="1148"/>
      <c r="AK13" s="1148"/>
      <c r="AL13" s="1148"/>
      <c r="AM13" s="1148"/>
      <c r="AN13" s="1148"/>
      <c r="AO13" s="1148"/>
      <c r="AP13" s="1148"/>
      <c r="AQ13" s="1148"/>
      <c r="AR13" s="1148"/>
      <c r="AS13" s="1148"/>
      <c r="AT13" s="1148"/>
      <c r="AU13" s="1148"/>
      <c r="AV13" s="1148"/>
      <c r="AW13" s="1148"/>
      <c r="AX13" s="1148"/>
      <c r="AY13" s="1148"/>
      <c r="AZ13" s="1148"/>
      <c r="BA13" s="1148"/>
      <c r="BB13" s="1148"/>
      <c r="BC13" s="1148"/>
      <c r="BD13" s="1148"/>
      <c r="BE13" s="1148"/>
      <c r="BF13" s="1148"/>
      <c r="BG13" s="1148"/>
      <c r="BH13" s="1148"/>
      <c r="BI13" s="1148"/>
      <c r="BJ13" s="1148"/>
      <c r="BK13" s="1148"/>
      <c r="BL13" s="1148"/>
      <c r="BM13" s="1148"/>
      <c r="BN13" s="1148"/>
      <c r="BO13" s="1148"/>
      <c r="BP13" s="1148"/>
      <c r="BQ13" s="1148"/>
      <c r="BR13" s="1148"/>
      <c r="BS13" s="1148"/>
      <c r="BT13" s="1148"/>
      <c r="BU13" s="1148"/>
      <c r="BV13" s="1148"/>
      <c r="BW13" s="1148"/>
      <c r="BX13" s="1148"/>
      <c r="BY13" s="1148"/>
      <c r="BZ13" s="1148"/>
      <c r="CA13" s="1148"/>
      <c r="CB13" s="1148"/>
      <c r="CC13" s="1148"/>
      <c r="CD13" s="1148"/>
      <c r="CE13" s="1148"/>
      <c r="CF13" s="1148"/>
      <c r="CG13" s="1148"/>
      <c r="CH13" s="1148"/>
      <c r="CI13" s="1148"/>
      <c r="CJ13" s="1148"/>
      <c r="CK13" s="1148"/>
      <c r="CL13" s="1148"/>
      <c r="CM13" s="1148"/>
      <c r="CN13" s="1148"/>
      <c r="CO13" s="1148"/>
      <c r="CP13" s="1148"/>
      <c r="CQ13" s="1148"/>
      <c r="CR13" s="1148"/>
      <c r="CS13" s="1148"/>
      <c r="CT13" s="1148"/>
      <c r="CU13" s="1148"/>
      <c r="CV13" s="1148"/>
      <c r="CW13" s="1148"/>
      <c r="CX13" s="1148"/>
      <c r="CY13" s="1148"/>
      <c r="CZ13" s="1148"/>
      <c r="DA13" s="1148"/>
      <c r="DB13" s="1148"/>
      <c r="DC13" s="1148"/>
      <c r="DD13" s="1148"/>
      <c r="DE13" s="1148"/>
      <c r="DF13" s="1148"/>
      <c r="DG13" s="1148"/>
      <c r="DH13" s="1148"/>
      <c r="DI13" s="1148"/>
      <c r="DJ13" s="1148"/>
      <c r="DK13" s="1148"/>
      <c r="DL13" s="1148"/>
      <c r="DM13" s="1148"/>
      <c r="DN13" s="1148"/>
      <c r="DO13" s="1148"/>
      <c r="DP13" s="1148"/>
      <c r="DQ13" s="1148"/>
      <c r="DR13" s="1148"/>
      <c r="DS13" s="1148"/>
      <c r="DT13" s="1148"/>
      <c r="DU13" s="1148"/>
      <c r="DV13" s="1148"/>
      <c r="DW13" s="1148"/>
      <c r="DX13" s="1148"/>
      <c r="DY13" s="1148"/>
      <c r="DZ13" s="1148"/>
      <c r="EA13" s="1148"/>
    </row>
    <row r="14" spans="1:131" s="1149" customFormat="1" ht="35.1" customHeight="1">
      <c r="A14" s="1569"/>
      <c r="B14" s="1228" t="s">
        <v>801</v>
      </c>
      <c r="C14" s="1259"/>
      <c r="D14" s="1229"/>
      <c r="E14" s="1229"/>
      <c r="F14" s="1229"/>
      <c r="G14" s="1231"/>
      <c r="H14" s="1260"/>
      <c r="I14" s="1261"/>
      <c r="J14" s="1229"/>
      <c r="K14" s="1260"/>
      <c r="L14" s="1260"/>
      <c r="M14" s="1261"/>
      <c r="N14" s="1229"/>
      <c r="O14" s="1260"/>
      <c r="P14" s="1260"/>
      <c r="Q14" s="1261"/>
      <c r="R14" s="1229"/>
      <c r="S14" s="1260"/>
      <c r="T14" s="1260"/>
      <c r="U14" s="1261"/>
      <c r="V14" s="1148"/>
      <c r="W14" s="1148"/>
      <c r="X14" s="1148"/>
      <c r="Y14" s="1148"/>
      <c r="Z14" s="1148"/>
      <c r="AA14" s="1148"/>
      <c r="AB14" s="1148"/>
      <c r="AC14" s="1148"/>
      <c r="AD14" s="1148"/>
      <c r="AE14" s="1148"/>
      <c r="AF14" s="1148"/>
      <c r="AG14" s="1148"/>
      <c r="AH14" s="1148"/>
      <c r="AI14" s="1148"/>
      <c r="AJ14" s="1148"/>
      <c r="AK14" s="1148"/>
      <c r="AL14" s="1148"/>
      <c r="AM14" s="1148"/>
      <c r="AN14" s="1148"/>
      <c r="AO14" s="1148"/>
      <c r="AP14" s="1148"/>
      <c r="AQ14" s="1148"/>
      <c r="AR14" s="1148"/>
      <c r="AS14" s="1148"/>
      <c r="AT14" s="1148"/>
      <c r="AU14" s="1148"/>
      <c r="AV14" s="1148"/>
      <c r="AW14" s="1148"/>
      <c r="AX14" s="1148"/>
      <c r="AY14" s="1148"/>
      <c r="AZ14" s="1148"/>
      <c r="BA14" s="1148"/>
      <c r="BB14" s="1148"/>
      <c r="BC14" s="1148"/>
      <c r="BD14" s="1148"/>
      <c r="BE14" s="1148"/>
      <c r="BF14" s="1148"/>
      <c r="BG14" s="1148"/>
      <c r="BH14" s="1148"/>
      <c r="BI14" s="1148"/>
      <c r="BJ14" s="1148"/>
      <c r="BK14" s="1148"/>
      <c r="BL14" s="1148"/>
      <c r="BM14" s="1148"/>
      <c r="BN14" s="1148"/>
      <c r="BO14" s="1148"/>
      <c r="BP14" s="1148"/>
      <c r="BQ14" s="1148"/>
      <c r="BR14" s="1148"/>
      <c r="BS14" s="1148"/>
      <c r="BT14" s="1148"/>
      <c r="BU14" s="1148"/>
      <c r="BV14" s="1148"/>
      <c r="BW14" s="1148"/>
      <c r="BX14" s="1148"/>
      <c r="BY14" s="1148"/>
      <c r="BZ14" s="1148"/>
      <c r="CA14" s="1148"/>
      <c r="CB14" s="1148"/>
      <c r="CC14" s="1148"/>
      <c r="CD14" s="1148"/>
      <c r="CE14" s="1148"/>
      <c r="CF14" s="1148"/>
      <c r="CG14" s="1148"/>
      <c r="CH14" s="1148"/>
      <c r="CI14" s="1148"/>
      <c r="CJ14" s="1148"/>
      <c r="CK14" s="1148"/>
      <c r="CL14" s="1148"/>
      <c r="CM14" s="1148"/>
      <c r="CN14" s="1148"/>
      <c r="CO14" s="1148"/>
      <c r="CP14" s="1148"/>
      <c r="CQ14" s="1148"/>
      <c r="CR14" s="1148"/>
      <c r="CS14" s="1148"/>
      <c r="CT14" s="1148"/>
      <c r="CU14" s="1148"/>
      <c r="CV14" s="1148"/>
      <c r="CW14" s="1148"/>
      <c r="CX14" s="1148"/>
      <c r="CY14" s="1148"/>
      <c r="CZ14" s="1148"/>
      <c r="DA14" s="1148"/>
      <c r="DB14" s="1148"/>
      <c r="DC14" s="1148"/>
      <c r="DD14" s="1148"/>
      <c r="DE14" s="1148"/>
      <c r="DF14" s="1148"/>
      <c r="DG14" s="1148"/>
      <c r="DH14" s="1148"/>
      <c r="DI14" s="1148"/>
      <c r="DJ14" s="1148"/>
      <c r="DK14" s="1148"/>
      <c r="DL14" s="1148"/>
      <c r="DM14" s="1148"/>
      <c r="DN14" s="1148"/>
      <c r="DO14" s="1148"/>
      <c r="DP14" s="1148"/>
      <c r="DQ14" s="1148"/>
      <c r="DR14" s="1148"/>
      <c r="DS14" s="1148"/>
      <c r="DT14" s="1148"/>
      <c r="DU14" s="1148"/>
      <c r="DV14" s="1148"/>
      <c r="DW14" s="1148"/>
      <c r="DX14" s="1148"/>
      <c r="DY14" s="1148"/>
      <c r="DZ14" s="1148"/>
      <c r="EA14" s="1148"/>
    </row>
    <row r="15" spans="1:131" s="1149" customFormat="1" ht="35.1" customHeight="1" thickBot="1">
      <c r="A15" s="1576"/>
      <c r="B15" s="1262" t="s">
        <v>802</v>
      </c>
      <c r="C15" s="1263"/>
      <c r="D15" s="1229"/>
      <c r="E15" s="1230"/>
      <c r="F15" s="1230"/>
      <c r="G15" s="1231"/>
      <c r="H15" s="1231"/>
      <c r="I15" s="1232"/>
      <c r="J15" s="1229"/>
      <c r="K15" s="1260"/>
      <c r="L15" s="1260"/>
      <c r="M15" s="1261"/>
      <c r="N15" s="1229"/>
      <c r="O15" s="1260"/>
      <c r="P15" s="1260"/>
      <c r="Q15" s="1261"/>
      <c r="R15" s="1229"/>
      <c r="S15" s="1260"/>
      <c r="T15" s="1260"/>
      <c r="U15" s="1261"/>
      <c r="V15" s="1150"/>
      <c r="W15" s="1150"/>
      <c r="X15" s="1148"/>
      <c r="Y15" s="1148"/>
      <c r="Z15" s="1148"/>
      <c r="AA15" s="1148"/>
      <c r="AB15" s="1148"/>
      <c r="AC15" s="1148"/>
      <c r="AD15" s="1148"/>
      <c r="AE15" s="1148"/>
      <c r="AF15" s="1148"/>
      <c r="AG15" s="1148"/>
      <c r="AH15" s="1148"/>
      <c r="AI15" s="1148"/>
      <c r="AJ15" s="1148"/>
      <c r="AK15" s="1148"/>
      <c r="AL15" s="1148"/>
      <c r="AM15" s="1148"/>
      <c r="AN15" s="1148"/>
      <c r="AO15" s="1148"/>
      <c r="AP15" s="1148"/>
      <c r="AQ15" s="1148"/>
      <c r="AR15" s="1148"/>
      <c r="AS15" s="1148"/>
      <c r="AT15" s="1148"/>
      <c r="AU15" s="1148"/>
      <c r="AV15" s="1148"/>
      <c r="AW15" s="1148"/>
      <c r="AX15" s="1148"/>
      <c r="AY15" s="1148"/>
      <c r="AZ15" s="1148"/>
      <c r="BA15" s="1148"/>
      <c r="BB15" s="1148"/>
      <c r="BC15" s="1148"/>
      <c r="BD15" s="1148"/>
      <c r="BE15" s="1148"/>
      <c r="BF15" s="1148"/>
      <c r="BG15" s="1148"/>
      <c r="BH15" s="1148"/>
      <c r="BI15" s="1148"/>
      <c r="BJ15" s="1148"/>
      <c r="BK15" s="1148"/>
      <c r="BL15" s="1148"/>
      <c r="BM15" s="1148"/>
      <c r="BN15" s="1148"/>
      <c r="BO15" s="1148"/>
      <c r="BP15" s="1148"/>
      <c r="BQ15" s="1148"/>
      <c r="BR15" s="1148"/>
      <c r="BS15" s="1148"/>
      <c r="BT15" s="1148"/>
      <c r="BU15" s="1148"/>
      <c r="BV15" s="1148"/>
      <c r="BW15" s="1148"/>
      <c r="BX15" s="1148"/>
      <c r="BY15" s="1148"/>
      <c r="BZ15" s="1148"/>
      <c r="CA15" s="1148"/>
      <c r="CB15" s="1148"/>
      <c r="CC15" s="1148"/>
      <c r="CD15" s="1148"/>
      <c r="CE15" s="1148"/>
      <c r="CF15" s="1148"/>
      <c r="CG15" s="1148"/>
      <c r="CH15" s="1148"/>
      <c r="CI15" s="1148"/>
      <c r="CJ15" s="1148"/>
      <c r="CK15" s="1148"/>
      <c r="CL15" s="1148"/>
      <c r="CM15" s="1148"/>
      <c r="CN15" s="1148"/>
      <c r="CO15" s="1148"/>
      <c r="CP15" s="1148"/>
      <c r="CQ15" s="1148"/>
      <c r="CR15" s="1148"/>
      <c r="CS15" s="1148"/>
      <c r="CT15" s="1148"/>
      <c r="CU15" s="1148"/>
      <c r="CV15" s="1148"/>
      <c r="CW15" s="1148"/>
      <c r="CX15" s="1148"/>
      <c r="CY15" s="1148"/>
      <c r="CZ15" s="1148"/>
      <c r="DA15" s="1148"/>
      <c r="DB15" s="1148"/>
      <c r="DC15" s="1148"/>
      <c r="DD15" s="1148"/>
      <c r="DE15" s="1148"/>
      <c r="DF15" s="1148"/>
      <c r="DG15" s="1148"/>
      <c r="DH15" s="1148"/>
      <c r="DI15" s="1148"/>
      <c r="DJ15" s="1148"/>
      <c r="DK15" s="1148"/>
      <c r="DL15" s="1148"/>
      <c r="DM15" s="1148"/>
      <c r="DN15" s="1148"/>
      <c r="DO15" s="1148"/>
      <c r="DP15" s="1148"/>
      <c r="DQ15" s="1148"/>
      <c r="DR15" s="1148"/>
      <c r="DS15" s="1148"/>
      <c r="DT15" s="1148"/>
      <c r="DU15" s="1148"/>
      <c r="DV15" s="1148"/>
      <c r="DW15" s="1148"/>
      <c r="DX15" s="1148"/>
      <c r="DY15" s="1148"/>
      <c r="DZ15" s="1148"/>
      <c r="EA15" s="1148"/>
    </row>
    <row r="16" spans="1:131" s="1149" customFormat="1" ht="35.1" customHeight="1">
      <c r="A16" s="1569" t="s">
        <v>824</v>
      </c>
      <c r="B16" s="1264" t="s">
        <v>52</v>
      </c>
      <c r="C16" s="1594">
        <v>33</v>
      </c>
      <c r="D16" s="1221"/>
      <c r="E16" s="1222">
        <v>0</v>
      </c>
      <c r="F16" s="1222">
        <v>0</v>
      </c>
      <c r="G16" s="1223">
        <v>0</v>
      </c>
      <c r="H16" s="1223">
        <v>0</v>
      </c>
      <c r="I16" s="1224">
        <f>F16+G16+H16</f>
        <v>0</v>
      </c>
      <c r="J16" s="1225">
        <v>0</v>
      </c>
      <c r="K16" s="1226">
        <v>0</v>
      </c>
      <c r="L16" s="1226">
        <v>0</v>
      </c>
      <c r="M16" s="1227">
        <f>J16+K16+L16</f>
        <v>0</v>
      </c>
      <c r="N16" s="1225">
        <v>0</v>
      </c>
      <c r="O16" s="1226">
        <v>0</v>
      </c>
      <c r="P16" s="1226">
        <v>0</v>
      </c>
      <c r="Q16" s="1227">
        <f>N16+O16+P16</f>
        <v>0</v>
      </c>
      <c r="R16" s="1225">
        <f>J16+N16</f>
        <v>0</v>
      </c>
      <c r="S16" s="1226">
        <f t="shared" ref="S16:U19" si="0">K16+O16</f>
        <v>0</v>
      </c>
      <c r="T16" s="1226">
        <f t="shared" si="0"/>
        <v>0</v>
      </c>
      <c r="U16" s="1227">
        <f t="shared" si="0"/>
        <v>0</v>
      </c>
      <c r="V16" s="1148"/>
      <c r="W16" s="1150"/>
      <c r="X16" s="1148"/>
      <c r="Y16" s="1148"/>
      <c r="Z16" s="1148"/>
      <c r="AA16" s="1148"/>
      <c r="AB16" s="1148"/>
      <c r="AC16" s="1148"/>
      <c r="AD16" s="1148"/>
      <c r="AE16" s="1148"/>
      <c r="AF16" s="1148"/>
      <c r="AG16" s="1148"/>
      <c r="AH16" s="1148"/>
      <c r="AI16" s="1148"/>
      <c r="AJ16" s="1148"/>
      <c r="AK16" s="1148"/>
      <c r="AL16" s="1148"/>
      <c r="AM16" s="1148"/>
      <c r="AN16" s="1148"/>
      <c r="AO16" s="1148"/>
      <c r="AP16" s="1148"/>
      <c r="AQ16" s="1148"/>
      <c r="AR16" s="1148"/>
      <c r="AS16" s="1148"/>
      <c r="AT16" s="1148"/>
      <c r="AU16" s="1148"/>
      <c r="AV16" s="1148"/>
      <c r="AW16" s="1148"/>
      <c r="AX16" s="1148"/>
      <c r="AY16" s="1148"/>
      <c r="AZ16" s="1148"/>
      <c r="BA16" s="1148"/>
      <c r="BB16" s="1148"/>
      <c r="BC16" s="1148"/>
      <c r="BD16" s="1148"/>
      <c r="BE16" s="1148"/>
      <c r="BF16" s="1148"/>
      <c r="BG16" s="1148"/>
      <c r="BH16" s="1148"/>
      <c r="BI16" s="1148"/>
      <c r="BJ16" s="1148"/>
      <c r="BK16" s="1148"/>
      <c r="BL16" s="1148"/>
      <c r="BM16" s="1148"/>
      <c r="BN16" s="1148"/>
      <c r="BO16" s="1148"/>
      <c r="BP16" s="1148"/>
      <c r="BQ16" s="1148"/>
      <c r="BR16" s="1148"/>
      <c r="BS16" s="1148"/>
      <c r="BT16" s="1148"/>
      <c r="BU16" s="1148"/>
      <c r="BV16" s="1148"/>
      <c r="BW16" s="1148"/>
      <c r="BX16" s="1148"/>
      <c r="BY16" s="1148"/>
      <c r="BZ16" s="1148"/>
      <c r="CA16" s="1148"/>
      <c r="CB16" s="1148"/>
      <c r="CC16" s="1148"/>
      <c r="CD16" s="1148"/>
      <c r="CE16" s="1148"/>
      <c r="CF16" s="1148"/>
      <c r="CG16" s="1148"/>
      <c r="CH16" s="1148"/>
      <c r="CI16" s="1148"/>
      <c r="CJ16" s="1148"/>
      <c r="CK16" s="1148"/>
      <c r="CL16" s="1148"/>
      <c r="CM16" s="1148"/>
      <c r="CN16" s="1148"/>
      <c r="CO16" s="1148"/>
      <c r="CP16" s="1148"/>
      <c r="CQ16" s="1148"/>
      <c r="CR16" s="1148"/>
      <c r="CS16" s="1148"/>
      <c r="CT16" s="1148"/>
      <c r="CU16" s="1148"/>
      <c r="CV16" s="1148"/>
      <c r="CW16" s="1148"/>
      <c r="CX16" s="1148"/>
      <c r="CY16" s="1148"/>
      <c r="CZ16" s="1148"/>
      <c r="DA16" s="1148"/>
      <c r="DB16" s="1148"/>
      <c r="DC16" s="1148"/>
      <c r="DD16" s="1148"/>
      <c r="DE16" s="1148"/>
      <c r="DF16" s="1148"/>
      <c r="DG16" s="1148"/>
      <c r="DH16" s="1148"/>
      <c r="DI16" s="1148"/>
      <c r="DJ16" s="1148"/>
      <c r="DK16" s="1148"/>
      <c r="DL16" s="1148"/>
      <c r="DM16" s="1148"/>
      <c r="DN16" s="1148"/>
      <c r="DO16" s="1148"/>
      <c r="DP16" s="1148"/>
      <c r="DQ16" s="1148"/>
      <c r="DR16" s="1148"/>
      <c r="DS16" s="1148"/>
      <c r="DT16" s="1148"/>
      <c r="DU16" s="1148"/>
      <c r="DV16" s="1148"/>
      <c r="DW16" s="1148"/>
      <c r="DX16" s="1148"/>
      <c r="DY16" s="1148"/>
      <c r="DZ16" s="1148"/>
      <c r="EA16" s="1148"/>
    </row>
    <row r="17" spans="1:131" s="1149" customFormat="1" ht="35.1" customHeight="1">
      <c r="A17" s="1569"/>
      <c r="B17" s="1228" t="s">
        <v>800</v>
      </c>
      <c r="C17" s="1572"/>
      <c r="D17" s="1229">
        <f>R17/I17/12</f>
        <v>27766</v>
      </c>
      <c r="E17" s="1230">
        <v>0</v>
      </c>
      <c r="F17" s="1230">
        <v>0</v>
      </c>
      <c r="G17" s="1231">
        <v>0</v>
      </c>
      <c r="H17" s="1231">
        <v>1</v>
      </c>
      <c r="I17" s="1232">
        <f t="shared" ref="I17:I19" si="1">F17+G17+H17</f>
        <v>1</v>
      </c>
      <c r="J17" s="1233">
        <f>40737.48+9241.32</f>
        <v>49978.8</v>
      </c>
      <c r="K17" s="1234">
        <v>0</v>
      </c>
      <c r="L17" s="1234">
        <v>0</v>
      </c>
      <c r="M17" s="1235">
        <f t="shared" ref="M17:M19" si="2">J17+K17+L17</f>
        <v>49978.8</v>
      </c>
      <c r="N17" s="1233">
        <f>230841.52+52371.68</f>
        <v>283213.2</v>
      </c>
      <c r="O17" s="1234">
        <v>0</v>
      </c>
      <c r="P17" s="1234">
        <v>0</v>
      </c>
      <c r="Q17" s="1235">
        <f t="shared" ref="Q17:Q19" si="3">N17+O17+P17</f>
        <v>283213.2</v>
      </c>
      <c r="R17" s="1233">
        <f t="shared" ref="R17:R19" si="4">J17+N17</f>
        <v>333192</v>
      </c>
      <c r="S17" s="1234">
        <f t="shared" si="0"/>
        <v>0</v>
      </c>
      <c r="T17" s="1234">
        <f t="shared" si="0"/>
        <v>0</v>
      </c>
      <c r="U17" s="1235">
        <f t="shared" si="0"/>
        <v>333192</v>
      </c>
      <c r="V17" s="1148"/>
      <c r="W17" s="1150"/>
      <c r="X17" s="1148"/>
      <c r="Y17" s="1148"/>
      <c r="Z17" s="1148"/>
      <c r="AA17" s="1148"/>
      <c r="AB17" s="1148"/>
      <c r="AC17" s="1148"/>
      <c r="AD17" s="1148"/>
      <c r="AE17" s="1148"/>
      <c r="AF17" s="1148"/>
      <c r="AG17" s="1148"/>
      <c r="AH17" s="1148"/>
      <c r="AI17" s="1148"/>
      <c r="AJ17" s="1148"/>
      <c r="AK17" s="1148"/>
      <c r="AL17" s="1148"/>
      <c r="AM17" s="1148"/>
      <c r="AN17" s="1148"/>
      <c r="AO17" s="1148"/>
      <c r="AP17" s="1148"/>
      <c r="AQ17" s="1148"/>
      <c r="AR17" s="1148"/>
      <c r="AS17" s="1148"/>
      <c r="AT17" s="1148"/>
      <c r="AU17" s="1148"/>
      <c r="AV17" s="1148"/>
      <c r="AW17" s="1148"/>
      <c r="AX17" s="1148"/>
      <c r="AY17" s="1148"/>
      <c r="AZ17" s="1148"/>
      <c r="BA17" s="1148"/>
      <c r="BB17" s="1148"/>
      <c r="BC17" s="1148"/>
      <c r="BD17" s="1148"/>
      <c r="BE17" s="1148"/>
      <c r="BF17" s="1148"/>
      <c r="BG17" s="1148"/>
      <c r="BH17" s="1148"/>
      <c r="BI17" s="1148"/>
      <c r="BJ17" s="1148"/>
      <c r="BK17" s="1148"/>
      <c r="BL17" s="1148"/>
      <c r="BM17" s="1148"/>
      <c r="BN17" s="1148"/>
      <c r="BO17" s="1148"/>
      <c r="BP17" s="1148"/>
      <c r="BQ17" s="1148"/>
      <c r="BR17" s="1148"/>
      <c r="BS17" s="1148"/>
      <c r="BT17" s="1148"/>
      <c r="BU17" s="1148"/>
      <c r="BV17" s="1148"/>
      <c r="BW17" s="1148"/>
      <c r="BX17" s="1148"/>
      <c r="BY17" s="1148"/>
      <c r="BZ17" s="1148"/>
      <c r="CA17" s="1148"/>
      <c r="CB17" s="1148"/>
      <c r="CC17" s="1148"/>
      <c r="CD17" s="1148"/>
      <c r="CE17" s="1148"/>
      <c r="CF17" s="1148"/>
      <c r="CG17" s="1148"/>
      <c r="CH17" s="1148"/>
      <c r="CI17" s="1148"/>
      <c r="CJ17" s="1148"/>
      <c r="CK17" s="1148"/>
      <c r="CL17" s="1148"/>
      <c r="CM17" s="1148"/>
      <c r="CN17" s="1148"/>
      <c r="CO17" s="1148"/>
      <c r="CP17" s="1148"/>
      <c r="CQ17" s="1148"/>
      <c r="CR17" s="1148"/>
      <c r="CS17" s="1148"/>
      <c r="CT17" s="1148"/>
      <c r="CU17" s="1148"/>
      <c r="CV17" s="1148"/>
      <c r="CW17" s="1148"/>
      <c r="CX17" s="1148"/>
      <c r="CY17" s="1148"/>
      <c r="CZ17" s="1148"/>
      <c r="DA17" s="1148"/>
      <c r="DB17" s="1148"/>
      <c r="DC17" s="1148"/>
      <c r="DD17" s="1148"/>
      <c r="DE17" s="1148"/>
      <c r="DF17" s="1148"/>
      <c r="DG17" s="1148"/>
      <c r="DH17" s="1148"/>
      <c r="DI17" s="1148"/>
      <c r="DJ17" s="1148"/>
      <c r="DK17" s="1148"/>
      <c r="DL17" s="1148"/>
      <c r="DM17" s="1148"/>
      <c r="DN17" s="1148"/>
      <c r="DO17" s="1148"/>
      <c r="DP17" s="1148"/>
      <c r="DQ17" s="1148"/>
      <c r="DR17" s="1148"/>
      <c r="DS17" s="1148"/>
      <c r="DT17" s="1148"/>
      <c r="DU17" s="1148"/>
      <c r="DV17" s="1148"/>
      <c r="DW17" s="1148"/>
      <c r="DX17" s="1148"/>
      <c r="DY17" s="1148"/>
      <c r="DZ17" s="1148"/>
      <c r="EA17" s="1148"/>
    </row>
    <row r="18" spans="1:131" s="1149" customFormat="1" ht="35.1" customHeight="1">
      <c r="A18" s="1569"/>
      <c r="B18" s="1228" t="s">
        <v>801</v>
      </c>
      <c r="C18" s="1572"/>
      <c r="D18" s="1229"/>
      <c r="E18" s="1230">
        <v>0</v>
      </c>
      <c r="F18" s="1230">
        <v>0</v>
      </c>
      <c r="G18" s="1231">
        <v>0</v>
      </c>
      <c r="H18" s="1231">
        <v>0</v>
      </c>
      <c r="I18" s="1232">
        <f t="shared" si="1"/>
        <v>0</v>
      </c>
      <c r="J18" s="1233">
        <v>0</v>
      </c>
      <c r="K18" s="1234">
        <v>0</v>
      </c>
      <c r="L18" s="1234">
        <f>30772.2+7831.8</f>
        <v>38604</v>
      </c>
      <c r="M18" s="1235">
        <f t="shared" si="2"/>
        <v>38604</v>
      </c>
      <c r="N18" s="1233">
        <v>0</v>
      </c>
      <c r="O18" s="1234">
        <v>0</v>
      </c>
      <c r="P18" s="1234">
        <f>174379.8+44376.2</f>
        <v>218756</v>
      </c>
      <c r="Q18" s="1235">
        <f t="shared" si="3"/>
        <v>218756</v>
      </c>
      <c r="R18" s="1233">
        <f t="shared" si="4"/>
        <v>0</v>
      </c>
      <c r="S18" s="1234">
        <f t="shared" si="0"/>
        <v>0</v>
      </c>
      <c r="T18" s="1234">
        <f t="shared" si="0"/>
        <v>257360</v>
      </c>
      <c r="U18" s="1235">
        <f t="shared" si="0"/>
        <v>257360</v>
      </c>
      <c r="V18" s="1148"/>
      <c r="W18" s="1150"/>
      <c r="X18" s="1148"/>
      <c r="Y18" s="1148"/>
      <c r="Z18" s="1148"/>
      <c r="AA18" s="1148"/>
      <c r="AB18" s="1148"/>
      <c r="AC18" s="1148"/>
      <c r="AD18" s="1148"/>
      <c r="AE18" s="1148"/>
      <c r="AF18" s="1148"/>
      <c r="AG18" s="1148"/>
      <c r="AH18" s="1148"/>
      <c r="AI18" s="1148"/>
      <c r="AJ18" s="1148"/>
      <c r="AK18" s="1148"/>
      <c r="AL18" s="1148"/>
      <c r="AM18" s="1148"/>
      <c r="AN18" s="1148"/>
      <c r="AO18" s="1148"/>
      <c r="AP18" s="1148"/>
      <c r="AQ18" s="1148"/>
      <c r="AR18" s="1148"/>
      <c r="AS18" s="1148"/>
      <c r="AT18" s="1148"/>
      <c r="AU18" s="1148"/>
      <c r="AV18" s="1148"/>
      <c r="AW18" s="1148"/>
      <c r="AX18" s="1148"/>
      <c r="AY18" s="1148"/>
      <c r="AZ18" s="1148"/>
      <c r="BA18" s="1148"/>
      <c r="BB18" s="1148"/>
      <c r="BC18" s="1148"/>
      <c r="BD18" s="1148"/>
      <c r="BE18" s="1148"/>
      <c r="BF18" s="1148"/>
      <c r="BG18" s="1148"/>
      <c r="BH18" s="1148"/>
      <c r="BI18" s="1148"/>
      <c r="BJ18" s="1148"/>
      <c r="BK18" s="1148"/>
      <c r="BL18" s="1148"/>
      <c r="BM18" s="1148"/>
      <c r="BN18" s="1148"/>
      <c r="BO18" s="1148"/>
      <c r="BP18" s="1148"/>
      <c r="BQ18" s="1148"/>
      <c r="BR18" s="1148"/>
      <c r="BS18" s="1148"/>
      <c r="BT18" s="1148"/>
      <c r="BU18" s="1148"/>
      <c r="BV18" s="1148"/>
      <c r="BW18" s="1148"/>
      <c r="BX18" s="1148"/>
      <c r="BY18" s="1148"/>
      <c r="BZ18" s="1148"/>
      <c r="CA18" s="1148"/>
      <c r="CB18" s="1148"/>
      <c r="CC18" s="1148"/>
      <c r="CD18" s="1148"/>
      <c r="CE18" s="1148"/>
      <c r="CF18" s="1148"/>
      <c r="CG18" s="1148"/>
      <c r="CH18" s="1148"/>
      <c r="CI18" s="1148"/>
      <c r="CJ18" s="1148"/>
      <c r="CK18" s="1148"/>
      <c r="CL18" s="1148"/>
      <c r="CM18" s="1148"/>
      <c r="CN18" s="1148"/>
      <c r="CO18" s="1148"/>
      <c r="CP18" s="1148"/>
      <c r="CQ18" s="1148"/>
      <c r="CR18" s="1148"/>
      <c r="CS18" s="1148"/>
      <c r="CT18" s="1148"/>
      <c r="CU18" s="1148"/>
      <c r="CV18" s="1148"/>
      <c r="CW18" s="1148"/>
      <c r="CX18" s="1148"/>
      <c r="CY18" s="1148"/>
      <c r="CZ18" s="1148"/>
      <c r="DA18" s="1148"/>
      <c r="DB18" s="1148"/>
      <c r="DC18" s="1148"/>
      <c r="DD18" s="1148"/>
      <c r="DE18" s="1148"/>
      <c r="DF18" s="1148"/>
      <c r="DG18" s="1148"/>
      <c r="DH18" s="1148"/>
      <c r="DI18" s="1148"/>
      <c r="DJ18" s="1148"/>
      <c r="DK18" s="1148"/>
      <c r="DL18" s="1148"/>
      <c r="DM18" s="1148"/>
      <c r="DN18" s="1148"/>
      <c r="DO18" s="1148"/>
      <c r="DP18" s="1148"/>
      <c r="DQ18" s="1148"/>
      <c r="DR18" s="1148"/>
      <c r="DS18" s="1148"/>
      <c r="DT18" s="1148"/>
      <c r="DU18" s="1148"/>
      <c r="DV18" s="1148"/>
      <c r="DW18" s="1148"/>
      <c r="DX18" s="1148"/>
      <c r="DY18" s="1148"/>
      <c r="DZ18" s="1148"/>
      <c r="EA18" s="1148"/>
    </row>
    <row r="19" spans="1:131" s="1149" customFormat="1" ht="35.1" customHeight="1">
      <c r="A19" s="1593"/>
      <c r="B19" s="1228" t="s">
        <v>802</v>
      </c>
      <c r="C19" s="1595"/>
      <c r="D19" s="1229"/>
      <c r="E19" s="1230">
        <v>0</v>
      </c>
      <c r="F19" s="1230">
        <f>F16+F17+F18</f>
        <v>0</v>
      </c>
      <c r="G19" s="1231">
        <f t="shared" ref="G19:H19" si="5">G16+G17+G18</f>
        <v>0</v>
      </c>
      <c r="H19" s="1231">
        <f t="shared" si="5"/>
        <v>1</v>
      </c>
      <c r="I19" s="1232">
        <f t="shared" si="1"/>
        <v>1</v>
      </c>
      <c r="J19" s="1233">
        <f>J16+J17+J18</f>
        <v>49978.8</v>
      </c>
      <c r="K19" s="1234">
        <f t="shared" ref="K19:L19" si="6">K16+K17+K18</f>
        <v>0</v>
      </c>
      <c r="L19" s="1234">
        <f t="shared" si="6"/>
        <v>38604</v>
      </c>
      <c r="M19" s="1235">
        <f t="shared" si="2"/>
        <v>88582.8</v>
      </c>
      <c r="N19" s="1233">
        <f>N16+N17+N18</f>
        <v>283213.2</v>
      </c>
      <c r="O19" s="1234">
        <f t="shared" ref="O19:P19" si="7">O16+O17+O18</f>
        <v>0</v>
      </c>
      <c r="P19" s="1234">
        <f t="shared" si="7"/>
        <v>218756</v>
      </c>
      <c r="Q19" s="1235">
        <f t="shared" si="3"/>
        <v>501969.2</v>
      </c>
      <c r="R19" s="1233">
        <f t="shared" si="4"/>
        <v>333192</v>
      </c>
      <c r="S19" s="1234">
        <f t="shared" si="0"/>
        <v>0</v>
      </c>
      <c r="T19" s="1234">
        <f t="shared" si="0"/>
        <v>257360</v>
      </c>
      <c r="U19" s="1235">
        <f t="shared" si="0"/>
        <v>590552</v>
      </c>
      <c r="V19" s="1150"/>
      <c r="W19" s="1150"/>
      <c r="X19" s="1148"/>
      <c r="Y19" s="1148"/>
      <c r="Z19" s="1148"/>
      <c r="AA19" s="1148"/>
      <c r="AB19" s="1148"/>
      <c r="AC19" s="1148"/>
      <c r="AD19" s="1148"/>
      <c r="AE19" s="1148"/>
      <c r="AF19" s="1148"/>
      <c r="AG19" s="1148"/>
      <c r="AH19" s="1148"/>
      <c r="AI19" s="1148"/>
      <c r="AJ19" s="1148"/>
      <c r="AK19" s="1148"/>
      <c r="AL19" s="1148"/>
      <c r="AM19" s="1148"/>
      <c r="AN19" s="1148"/>
      <c r="AO19" s="1148"/>
      <c r="AP19" s="1148"/>
      <c r="AQ19" s="1148"/>
      <c r="AR19" s="1148"/>
      <c r="AS19" s="1148"/>
      <c r="AT19" s="1148"/>
      <c r="AU19" s="1148"/>
      <c r="AV19" s="1148"/>
      <c r="AW19" s="1148"/>
      <c r="AX19" s="1148"/>
      <c r="AY19" s="1148"/>
      <c r="AZ19" s="1148"/>
      <c r="BA19" s="1148"/>
      <c r="BB19" s="1148"/>
      <c r="BC19" s="1148"/>
      <c r="BD19" s="1148"/>
      <c r="BE19" s="1148"/>
      <c r="BF19" s="1148"/>
      <c r="BG19" s="1148"/>
      <c r="BH19" s="1148"/>
      <c r="BI19" s="1148"/>
      <c r="BJ19" s="1148"/>
      <c r="BK19" s="1148"/>
      <c r="BL19" s="1148"/>
      <c r="BM19" s="1148"/>
      <c r="BN19" s="1148"/>
      <c r="BO19" s="1148"/>
      <c r="BP19" s="1148"/>
      <c r="BQ19" s="1148"/>
      <c r="BR19" s="1148"/>
      <c r="BS19" s="1148"/>
      <c r="BT19" s="1148"/>
      <c r="BU19" s="1148"/>
      <c r="BV19" s="1148"/>
      <c r="BW19" s="1148"/>
      <c r="BX19" s="1148"/>
      <c r="BY19" s="1148"/>
      <c r="BZ19" s="1148"/>
      <c r="CA19" s="1148"/>
      <c r="CB19" s="1148"/>
      <c r="CC19" s="1148"/>
      <c r="CD19" s="1148"/>
      <c r="CE19" s="1148"/>
      <c r="CF19" s="1148"/>
      <c r="CG19" s="1148"/>
      <c r="CH19" s="1148"/>
      <c r="CI19" s="1148"/>
      <c r="CJ19" s="1148"/>
      <c r="CK19" s="1148"/>
      <c r="CL19" s="1148"/>
      <c r="CM19" s="1148"/>
      <c r="CN19" s="1148"/>
      <c r="CO19" s="1148"/>
      <c r="CP19" s="1148"/>
      <c r="CQ19" s="1148"/>
      <c r="CR19" s="1148"/>
      <c r="CS19" s="1148"/>
      <c r="CT19" s="1148"/>
      <c r="CU19" s="1148"/>
      <c r="CV19" s="1148"/>
      <c r="CW19" s="1148"/>
      <c r="CX19" s="1148"/>
      <c r="CY19" s="1148"/>
      <c r="CZ19" s="1148"/>
      <c r="DA19" s="1148"/>
      <c r="DB19" s="1148"/>
      <c r="DC19" s="1148"/>
      <c r="DD19" s="1148"/>
      <c r="DE19" s="1148"/>
      <c r="DF19" s="1148"/>
      <c r="DG19" s="1148"/>
      <c r="DH19" s="1148"/>
      <c r="DI19" s="1148"/>
      <c r="DJ19" s="1148"/>
      <c r="DK19" s="1148"/>
      <c r="DL19" s="1148"/>
      <c r="DM19" s="1148"/>
      <c r="DN19" s="1148"/>
      <c r="DO19" s="1148"/>
      <c r="DP19" s="1148"/>
      <c r="DQ19" s="1148"/>
      <c r="DR19" s="1148"/>
      <c r="DS19" s="1148"/>
      <c r="DT19" s="1148"/>
      <c r="DU19" s="1148"/>
      <c r="DV19" s="1148"/>
      <c r="DW19" s="1148"/>
      <c r="DX19" s="1148"/>
      <c r="DY19" s="1148"/>
      <c r="DZ19" s="1148"/>
      <c r="EA19" s="1148"/>
    </row>
    <row r="20" spans="1:131" s="1149" customFormat="1" ht="35.1" customHeight="1">
      <c r="A20" s="1592" t="s">
        <v>803</v>
      </c>
      <c r="B20" s="1265" t="s">
        <v>52</v>
      </c>
      <c r="C20" s="1266"/>
      <c r="D20" s="1267"/>
      <c r="E20" s="1268">
        <v>0</v>
      </c>
      <c r="F20" s="1268">
        <f>F16</f>
        <v>0</v>
      </c>
      <c r="G20" s="1269">
        <f t="shared" ref="G20:I20" si="8">G16</f>
        <v>0</v>
      </c>
      <c r="H20" s="1269">
        <f t="shared" si="8"/>
        <v>0</v>
      </c>
      <c r="I20" s="1270">
        <f t="shared" si="8"/>
        <v>0</v>
      </c>
      <c r="J20" s="1271">
        <f>J16</f>
        <v>0</v>
      </c>
      <c r="K20" s="1272">
        <f t="shared" ref="K20:U23" si="9">K16</f>
        <v>0</v>
      </c>
      <c r="L20" s="1272">
        <f t="shared" si="9"/>
        <v>0</v>
      </c>
      <c r="M20" s="1273">
        <f t="shared" si="9"/>
        <v>0</v>
      </c>
      <c r="N20" s="1271">
        <f t="shared" si="9"/>
        <v>0</v>
      </c>
      <c r="O20" s="1272">
        <f t="shared" si="9"/>
        <v>0</v>
      </c>
      <c r="P20" s="1272">
        <f t="shared" si="9"/>
        <v>0</v>
      </c>
      <c r="Q20" s="1273">
        <f t="shared" si="9"/>
        <v>0</v>
      </c>
      <c r="R20" s="1271">
        <f t="shared" si="9"/>
        <v>0</v>
      </c>
      <c r="S20" s="1272">
        <f t="shared" si="9"/>
        <v>0</v>
      </c>
      <c r="T20" s="1272">
        <f t="shared" si="9"/>
        <v>0</v>
      </c>
      <c r="U20" s="1273">
        <f t="shared" si="9"/>
        <v>0</v>
      </c>
      <c r="V20" s="1148"/>
      <c r="W20" s="1148"/>
      <c r="X20" s="1148"/>
      <c r="Y20" s="1148"/>
      <c r="Z20" s="1148"/>
      <c r="AA20" s="1148"/>
      <c r="AB20" s="1148"/>
      <c r="AC20" s="1148"/>
      <c r="AD20" s="1148"/>
      <c r="AE20" s="1148"/>
      <c r="AF20" s="1148"/>
      <c r="AG20" s="1148"/>
      <c r="AH20" s="1148"/>
      <c r="AI20" s="1148"/>
      <c r="AJ20" s="1148"/>
      <c r="AK20" s="1148"/>
      <c r="AL20" s="1148"/>
      <c r="AM20" s="1148"/>
      <c r="AN20" s="1148"/>
      <c r="AO20" s="1148"/>
      <c r="AP20" s="1148"/>
      <c r="AQ20" s="1148"/>
      <c r="AR20" s="1148"/>
      <c r="AS20" s="1148"/>
      <c r="AT20" s="1148"/>
      <c r="AU20" s="1148"/>
      <c r="AV20" s="1148"/>
      <c r="AW20" s="1148"/>
      <c r="AX20" s="1148"/>
      <c r="AY20" s="1148"/>
      <c r="AZ20" s="1148"/>
      <c r="BA20" s="1148"/>
      <c r="BB20" s="1148"/>
      <c r="BC20" s="1148"/>
      <c r="BD20" s="1148"/>
      <c r="BE20" s="1148"/>
      <c r="BF20" s="1148"/>
      <c r="BG20" s="1148"/>
      <c r="BH20" s="1148"/>
      <c r="BI20" s="1148"/>
      <c r="BJ20" s="1148"/>
      <c r="BK20" s="1148"/>
      <c r="BL20" s="1148"/>
      <c r="BM20" s="1148"/>
      <c r="BN20" s="1148"/>
      <c r="BO20" s="1148"/>
      <c r="BP20" s="1148"/>
      <c r="BQ20" s="1148"/>
      <c r="BR20" s="1148"/>
      <c r="BS20" s="1148"/>
      <c r="BT20" s="1148"/>
      <c r="BU20" s="1148"/>
      <c r="BV20" s="1148"/>
      <c r="BW20" s="1148"/>
      <c r="BX20" s="1148"/>
      <c r="BY20" s="1148"/>
      <c r="BZ20" s="1148"/>
      <c r="CA20" s="1148"/>
      <c r="CB20" s="1148"/>
      <c r="CC20" s="1148"/>
      <c r="CD20" s="1148"/>
      <c r="CE20" s="1148"/>
      <c r="CF20" s="1148"/>
      <c r="CG20" s="1148"/>
      <c r="CH20" s="1148"/>
      <c r="CI20" s="1148"/>
      <c r="CJ20" s="1148"/>
      <c r="CK20" s="1148"/>
      <c r="CL20" s="1148"/>
      <c r="CM20" s="1148"/>
      <c r="CN20" s="1148"/>
      <c r="CO20" s="1148"/>
      <c r="CP20" s="1148"/>
      <c r="CQ20" s="1148"/>
      <c r="CR20" s="1148"/>
      <c r="CS20" s="1148"/>
      <c r="CT20" s="1148"/>
      <c r="CU20" s="1148"/>
      <c r="CV20" s="1148"/>
      <c r="CW20" s="1148"/>
      <c r="CX20" s="1148"/>
      <c r="CY20" s="1148"/>
      <c r="CZ20" s="1148"/>
      <c r="DA20" s="1148"/>
      <c r="DB20" s="1148"/>
      <c r="DC20" s="1148"/>
      <c r="DD20" s="1148"/>
      <c r="DE20" s="1148"/>
      <c r="DF20" s="1148"/>
      <c r="DG20" s="1148"/>
      <c r="DH20" s="1148"/>
      <c r="DI20" s="1148"/>
      <c r="DJ20" s="1148"/>
      <c r="DK20" s="1148"/>
      <c r="DL20" s="1148"/>
      <c r="DM20" s="1148"/>
      <c r="DN20" s="1148"/>
      <c r="DO20" s="1148"/>
      <c r="DP20" s="1148"/>
      <c r="DQ20" s="1148"/>
      <c r="DR20" s="1148"/>
      <c r="DS20" s="1148"/>
      <c r="DT20" s="1148"/>
      <c r="DU20" s="1148"/>
      <c r="DV20" s="1148"/>
      <c r="DW20" s="1148"/>
      <c r="DX20" s="1148"/>
      <c r="DY20" s="1148"/>
      <c r="DZ20" s="1148"/>
      <c r="EA20" s="1148"/>
    </row>
    <row r="21" spans="1:131" s="1149" customFormat="1" ht="35.1" customHeight="1">
      <c r="A21" s="1574"/>
      <c r="B21" s="1244" t="s">
        <v>800</v>
      </c>
      <c r="C21" s="1245"/>
      <c r="D21" s="1229"/>
      <c r="E21" s="1230">
        <v>0</v>
      </c>
      <c r="F21" s="1230">
        <f t="shared" ref="F21:Q23" si="10">F17</f>
        <v>0</v>
      </c>
      <c r="G21" s="1231">
        <f t="shared" si="10"/>
        <v>0</v>
      </c>
      <c r="H21" s="1231">
        <f t="shared" si="10"/>
        <v>1</v>
      </c>
      <c r="I21" s="1232">
        <f t="shared" si="10"/>
        <v>1</v>
      </c>
      <c r="J21" s="1233">
        <f t="shared" si="10"/>
        <v>49978.8</v>
      </c>
      <c r="K21" s="1234">
        <f t="shared" si="10"/>
        <v>0</v>
      </c>
      <c r="L21" s="1234">
        <f t="shared" si="10"/>
        <v>0</v>
      </c>
      <c r="M21" s="1235">
        <f t="shared" si="10"/>
        <v>49978.8</v>
      </c>
      <c r="N21" s="1233">
        <f t="shared" si="10"/>
        <v>283213.2</v>
      </c>
      <c r="O21" s="1234">
        <f t="shared" si="10"/>
        <v>0</v>
      </c>
      <c r="P21" s="1234">
        <f t="shared" si="10"/>
        <v>0</v>
      </c>
      <c r="Q21" s="1235">
        <f t="shared" si="10"/>
        <v>283213.2</v>
      </c>
      <c r="R21" s="1233">
        <f t="shared" si="9"/>
        <v>333192</v>
      </c>
      <c r="S21" s="1234">
        <f t="shared" si="9"/>
        <v>0</v>
      </c>
      <c r="T21" s="1234">
        <f t="shared" si="9"/>
        <v>0</v>
      </c>
      <c r="U21" s="1235">
        <f t="shared" si="9"/>
        <v>333192</v>
      </c>
      <c r="V21" s="1148"/>
      <c r="W21" s="1148"/>
      <c r="X21" s="1148"/>
      <c r="Y21" s="1148"/>
      <c r="Z21" s="1148"/>
      <c r="AA21" s="1148"/>
      <c r="AB21" s="1148"/>
      <c r="AC21" s="1148"/>
      <c r="AD21" s="1148"/>
      <c r="AE21" s="1148"/>
      <c r="AF21" s="1148"/>
      <c r="AG21" s="1148"/>
      <c r="AH21" s="1148"/>
      <c r="AI21" s="1148"/>
      <c r="AJ21" s="1148"/>
      <c r="AK21" s="1148"/>
      <c r="AL21" s="1148"/>
      <c r="AM21" s="1148"/>
      <c r="AN21" s="1148"/>
      <c r="AO21" s="1148"/>
      <c r="AP21" s="1148"/>
      <c r="AQ21" s="1148"/>
      <c r="AR21" s="1148"/>
      <c r="AS21" s="1148"/>
      <c r="AT21" s="1148"/>
      <c r="AU21" s="1148"/>
      <c r="AV21" s="1148"/>
      <c r="AW21" s="1148"/>
      <c r="AX21" s="1148"/>
      <c r="AY21" s="1148"/>
      <c r="AZ21" s="1148"/>
      <c r="BA21" s="1148"/>
      <c r="BB21" s="1148"/>
      <c r="BC21" s="1148"/>
      <c r="BD21" s="1148"/>
      <c r="BE21" s="1148"/>
      <c r="BF21" s="1148"/>
      <c r="BG21" s="1148"/>
      <c r="BH21" s="1148"/>
      <c r="BI21" s="1148"/>
      <c r="BJ21" s="1148"/>
      <c r="BK21" s="1148"/>
      <c r="BL21" s="1148"/>
      <c r="BM21" s="1148"/>
      <c r="BN21" s="1148"/>
      <c r="BO21" s="1148"/>
      <c r="BP21" s="1148"/>
      <c r="BQ21" s="1148"/>
      <c r="BR21" s="1148"/>
      <c r="BS21" s="1148"/>
      <c r="BT21" s="1148"/>
      <c r="BU21" s="1148"/>
      <c r="BV21" s="1148"/>
      <c r="BW21" s="1148"/>
      <c r="BX21" s="1148"/>
      <c r="BY21" s="1148"/>
      <c r="BZ21" s="1148"/>
      <c r="CA21" s="1148"/>
      <c r="CB21" s="1148"/>
      <c r="CC21" s="1148"/>
      <c r="CD21" s="1148"/>
      <c r="CE21" s="1148"/>
      <c r="CF21" s="1148"/>
      <c r="CG21" s="1148"/>
      <c r="CH21" s="1148"/>
      <c r="CI21" s="1148"/>
      <c r="CJ21" s="1148"/>
      <c r="CK21" s="1148"/>
      <c r="CL21" s="1148"/>
      <c r="CM21" s="1148"/>
      <c r="CN21" s="1148"/>
      <c r="CO21" s="1148"/>
      <c r="CP21" s="1148"/>
      <c r="CQ21" s="1148"/>
      <c r="CR21" s="1148"/>
      <c r="CS21" s="1148"/>
      <c r="CT21" s="1148"/>
      <c r="CU21" s="1148"/>
      <c r="CV21" s="1148"/>
      <c r="CW21" s="1148"/>
      <c r="CX21" s="1148"/>
      <c r="CY21" s="1148"/>
      <c r="CZ21" s="1148"/>
      <c r="DA21" s="1148"/>
      <c r="DB21" s="1148"/>
      <c r="DC21" s="1148"/>
      <c r="DD21" s="1148"/>
      <c r="DE21" s="1148"/>
      <c r="DF21" s="1148"/>
      <c r="DG21" s="1148"/>
      <c r="DH21" s="1148"/>
      <c r="DI21" s="1148"/>
      <c r="DJ21" s="1148"/>
      <c r="DK21" s="1148"/>
      <c r="DL21" s="1148"/>
      <c r="DM21" s="1148"/>
      <c r="DN21" s="1148"/>
      <c r="DO21" s="1148"/>
      <c r="DP21" s="1148"/>
      <c r="DQ21" s="1148"/>
      <c r="DR21" s="1148"/>
      <c r="DS21" s="1148"/>
      <c r="DT21" s="1148"/>
      <c r="DU21" s="1148"/>
      <c r="DV21" s="1148"/>
      <c r="DW21" s="1148"/>
      <c r="DX21" s="1148"/>
      <c r="DY21" s="1148"/>
      <c r="DZ21" s="1148"/>
      <c r="EA21" s="1148"/>
    </row>
    <row r="22" spans="1:131" s="1149" customFormat="1" ht="35.1" customHeight="1">
      <c r="A22" s="1574"/>
      <c r="B22" s="1244" t="s">
        <v>804</v>
      </c>
      <c r="C22" s="1245"/>
      <c r="D22" s="1229"/>
      <c r="E22" s="1230">
        <v>0</v>
      </c>
      <c r="F22" s="1230">
        <f t="shared" si="10"/>
        <v>0</v>
      </c>
      <c r="G22" s="1231">
        <f t="shared" si="10"/>
        <v>0</v>
      </c>
      <c r="H22" s="1231">
        <f t="shared" si="10"/>
        <v>0</v>
      </c>
      <c r="I22" s="1232">
        <f t="shared" si="10"/>
        <v>0</v>
      </c>
      <c r="J22" s="1233">
        <f t="shared" si="10"/>
        <v>0</v>
      </c>
      <c r="K22" s="1234">
        <f t="shared" si="10"/>
        <v>0</v>
      </c>
      <c r="L22" s="1234">
        <f t="shared" si="10"/>
        <v>38604</v>
      </c>
      <c r="M22" s="1235">
        <f t="shared" si="10"/>
        <v>38604</v>
      </c>
      <c r="N22" s="1233">
        <f t="shared" si="10"/>
        <v>0</v>
      </c>
      <c r="O22" s="1234">
        <f t="shared" si="10"/>
        <v>0</v>
      </c>
      <c r="P22" s="1234">
        <f t="shared" si="10"/>
        <v>218756</v>
      </c>
      <c r="Q22" s="1235">
        <f t="shared" si="10"/>
        <v>218756</v>
      </c>
      <c r="R22" s="1233">
        <f t="shared" si="9"/>
        <v>0</v>
      </c>
      <c r="S22" s="1234">
        <f t="shared" si="9"/>
        <v>0</v>
      </c>
      <c r="T22" s="1234">
        <f t="shared" si="9"/>
        <v>257360</v>
      </c>
      <c r="U22" s="1235">
        <f t="shared" si="9"/>
        <v>257360</v>
      </c>
      <c r="V22" s="1148"/>
      <c r="W22" s="1148"/>
      <c r="X22" s="1148"/>
      <c r="Y22" s="1148"/>
      <c r="Z22" s="1148"/>
      <c r="AA22" s="1148"/>
      <c r="AB22" s="1148"/>
      <c r="AC22" s="1148"/>
      <c r="AD22" s="1148"/>
      <c r="AE22" s="1148"/>
      <c r="AF22" s="1148"/>
      <c r="AG22" s="1148"/>
      <c r="AH22" s="1148"/>
      <c r="AI22" s="1148"/>
      <c r="AJ22" s="1148"/>
      <c r="AK22" s="1148"/>
      <c r="AL22" s="1148"/>
      <c r="AM22" s="1148"/>
      <c r="AN22" s="1148"/>
      <c r="AO22" s="1148"/>
      <c r="AP22" s="1148"/>
      <c r="AQ22" s="1148"/>
      <c r="AR22" s="1148"/>
      <c r="AS22" s="1148"/>
      <c r="AT22" s="1148"/>
      <c r="AU22" s="1148"/>
      <c r="AV22" s="1148"/>
      <c r="AW22" s="1148"/>
      <c r="AX22" s="1148"/>
      <c r="AY22" s="1148"/>
      <c r="AZ22" s="1148"/>
      <c r="BA22" s="1148"/>
      <c r="BB22" s="1148"/>
      <c r="BC22" s="1148"/>
      <c r="BD22" s="1148"/>
      <c r="BE22" s="1148"/>
      <c r="BF22" s="1148"/>
      <c r="BG22" s="1148"/>
      <c r="BH22" s="1148"/>
      <c r="BI22" s="1148"/>
      <c r="BJ22" s="1148"/>
      <c r="BK22" s="1148"/>
      <c r="BL22" s="1148"/>
      <c r="BM22" s="1148"/>
      <c r="BN22" s="1148"/>
      <c r="BO22" s="1148"/>
      <c r="BP22" s="1148"/>
      <c r="BQ22" s="1148"/>
      <c r="BR22" s="1148"/>
      <c r="BS22" s="1148"/>
      <c r="BT22" s="1148"/>
      <c r="BU22" s="1148"/>
      <c r="BV22" s="1148"/>
      <c r="BW22" s="1148"/>
      <c r="BX22" s="1148"/>
      <c r="BY22" s="1148"/>
      <c r="BZ22" s="1148"/>
      <c r="CA22" s="1148"/>
      <c r="CB22" s="1148"/>
      <c r="CC22" s="1148"/>
      <c r="CD22" s="1148"/>
      <c r="CE22" s="1148"/>
      <c r="CF22" s="1148"/>
      <c r="CG22" s="1148"/>
      <c r="CH22" s="1148"/>
      <c r="CI22" s="1148"/>
      <c r="CJ22" s="1148"/>
      <c r="CK22" s="1148"/>
      <c r="CL22" s="1148"/>
      <c r="CM22" s="1148"/>
      <c r="CN22" s="1148"/>
      <c r="CO22" s="1148"/>
      <c r="CP22" s="1148"/>
      <c r="CQ22" s="1148"/>
      <c r="CR22" s="1148"/>
      <c r="CS22" s="1148"/>
      <c r="CT22" s="1148"/>
      <c r="CU22" s="1148"/>
      <c r="CV22" s="1148"/>
      <c r="CW22" s="1148"/>
      <c r="CX22" s="1148"/>
      <c r="CY22" s="1148"/>
      <c r="CZ22" s="1148"/>
      <c r="DA22" s="1148"/>
      <c r="DB22" s="1148"/>
      <c r="DC22" s="1148"/>
      <c r="DD22" s="1148"/>
      <c r="DE22" s="1148"/>
      <c r="DF22" s="1148"/>
      <c r="DG22" s="1148"/>
      <c r="DH22" s="1148"/>
      <c r="DI22" s="1148"/>
      <c r="DJ22" s="1148"/>
      <c r="DK22" s="1148"/>
      <c r="DL22" s="1148"/>
      <c r="DM22" s="1148"/>
      <c r="DN22" s="1148"/>
      <c r="DO22" s="1148"/>
      <c r="DP22" s="1148"/>
      <c r="DQ22" s="1148"/>
      <c r="DR22" s="1148"/>
      <c r="DS22" s="1148"/>
      <c r="DT22" s="1148"/>
      <c r="DU22" s="1148"/>
      <c r="DV22" s="1148"/>
      <c r="DW22" s="1148"/>
      <c r="DX22" s="1148"/>
      <c r="DY22" s="1148"/>
      <c r="DZ22" s="1148"/>
      <c r="EA22" s="1148"/>
    </row>
    <row r="23" spans="1:131" s="1149" customFormat="1" ht="35.1" customHeight="1" thickBot="1">
      <c r="A23" s="1575"/>
      <c r="B23" s="1151" t="s">
        <v>802</v>
      </c>
      <c r="C23" s="1246"/>
      <c r="D23" s="1247"/>
      <c r="E23" s="1248">
        <v>0</v>
      </c>
      <c r="F23" s="1248">
        <f t="shared" si="10"/>
        <v>0</v>
      </c>
      <c r="G23" s="1249">
        <f t="shared" si="10"/>
        <v>0</v>
      </c>
      <c r="H23" s="1249">
        <f t="shared" si="10"/>
        <v>1</v>
      </c>
      <c r="I23" s="1250">
        <f t="shared" si="10"/>
        <v>1</v>
      </c>
      <c r="J23" s="1251">
        <f t="shared" si="10"/>
        <v>49978.8</v>
      </c>
      <c r="K23" s="1252">
        <f t="shared" si="10"/>
        <v>0</v>
      </c>
      <c r="L23" s="1252">
        <f t="shared" si="10"/>
        <v>38604</v>
      </c>
      <c r="M23" s="1253">
        <f t="shared" si="10"/>
        <v>88582.8</v>
      </c>
      <c r="N23" s="1251">
        <f t="shared" si="10"/>
        <v>283213.2</v>
      </c>
      <c r="O23" s="1252">
        <f t="shared" si="10"/>
        <v>0</v>
      </c>
      <c r="P23" s="1252">
        <f t="shared" si="10"/>
        <v>218756</v>
      </c>
      <c r="Q23" s="1253">
        <f t="shared" si="10"/>
        <v>501969.2</v>
      </c>
      <c r="R23" s="1251">
        <f t="shared" si="9"/>
        <v>333192</v>
      </c>
      <c r="S23" s="1252">
        <f t="shared" si="9"/>
        <v>0</v>
      </c>
      <c r="T23" s="1252">
        <f t="shared" si="9"/>
        <v>257360</v>
      </c>
      <c r="U23" s="1253">
        <f t="shared" si="9"/>
        <v>590552</v>
      </c>
      <c r="V23" s="1148"/>
      <c r="W23" s="1148"/>
      <c r="X23" s="1148"/>
      <c r="Y23" s="1148"/>
      <c r="Z23" s="1148"/>
      <c r="AA23" s="1148"/>
      <c r="AB23" s="1148"/>
      <c r="AC23" s="1148"/>
      <c r="AD23" s="1148"/>
      <c r="AE23" s="1148"/>
      <c r="AF23" s="1148"/>
      <c r="AG23" s="1148"/>
      <c r="AH23" s="1148"/>
      <c r="AI23" s="1148"/>
      <c r="AJ23" s="1148"/>
      <c r="AK23" s="1148"/>
      <c r="AL23" s="1148"/>
      <c r="AM23" s="1148"/>
      <c r="AN23" s="1148"/>
      <c r="AO23" s="1148"/>
      <c r="AP23" s="1148"/>
      <c r="AQ23" s="1148"/>
      <c r="AR23" s="1148"/>
      <c r="AS23" s="1148"/>
      <c r="AT23" s="1148"/>
      <c r="AU23" s="1148"/>
      <c r="AV23" s="1148"/>
      <c r="AW23" s="1148"/>
      <c r="AX23" s="1148"/>
      <c r="AY23" s="1148"/>
      <c r="AZ23" s="1148"/>
      <c r="BA23" s="1148"/>
      <c r="BB23" s="1148"/>
      <c r="BC23" s="1148"/>
      <c r="BD23" s="1148"/>
      <c r="BE23" s="1148"/>
      <c r="BF23" s="1148"/>
      <c r="BG23" s="1148"/>
      <c r="BH23" s="1148"/>
      <c r="BI23" s="1148"/>
      <c r="BJ23" s="1148"/>
      <c r="BK23" s="1148"/>
      <c r="BL23" s="1148"/>
      <c r="BM23" s="1148"/>
      <c r="BN23" s="1148"/>
      <c r="BO23" s="1148"/>
      <c r="BP23" s="1148"/>
      <c r="BQ23" s="1148"/>
      <c r="BR23" s="1148"/>
      <c r="BS23" s="1148"/>
      <c r="BT23" s="1148"/>
      <c r="BU23" s="1148"/>
      <c r="BV23" s="1148"/>
      <c r="BW23" s="1148"/>
      <c r="BX23" s="1148"/>
      <c r="BY23" s="1148"/>
      <c r="BZ23" s="1148"/>
      <c r="CA23" s="1148"/>
      <c r="CB23" s="1148"/>
      <c r="CC23" s="1148"/>
      <c r="CD23" s="1148"/>
      <c r="CE23" s="1148"/>
      <c r="CF23" s="1148"/>
      <c r="CG23" s="1148"/>
      <c r="CH23" s="1148"/>
      <c r="CI23" s="1148"/>
      <c r="CJ23" s="1148"/>
      <c r="CK23" s="1148"/>
      <c r="CL23" s="1148"/>
      <c r="CM23" s="1148"/>
      <c r="CN23" s="1148"/>
      <c r="CO23" s="1148"/>
      <c r="CP23" s="1148"/>
      <c r="CQ23" s="1148"/>
      <c r="CR23" s="1148"/>
      <c r="CS23" s="1148"/>
      <c r="CT23" s="1148"/>
      <c r="CU23" s="1148"/>
      <c r="CV23" s="1148"/>
      <c r="CW23" s="1148"/>
      <c r="CX23" s="1148"/>
      <c r="CY23" s="1148"/>
      <c r="CZ23" s="1148"/>
      <c r="DA23" s="1148"/>
      <c r="DB23" s="1148"/>
      <c r="DC23" s="1148"/>
      <c r="DD23" s="1148"/>
      <c r="DE23" s="1148"/>
      <c r="DF23" s="1148"/>
      <c r="DG23" s="1148"/>
      <c r="DH23" s="1148"/>
      <c r="DI23" s="1148"/>
      <c r="DJ23" s="1148"/>
      <c r="DK23" s="1148"/>
      <c r="DL23" s="1148"/>
      <c r="DM23" s="1148"/>
      <c r="DN23" s="1148"/>
      <c r="DO23" s="1148"/>
      <c r="DP23" s="1148"/>
      <c r="DQ23" s="1148"/>
      <c r="DR23" s="1148"/>
      <c r="DS23" s="1148"/>
      <c r="DT23" s="1148"/>
      <c r="DU23" s="1148"/>
      <c r="DV23" s="1148"/>
      <c r="DW23" s="1148"/>
      <c r="DX23" s="1148"/>
      <c r="DY23" s="1148"/>
      <c r="DZ23" s="1148"/>
      <c r="EA23" s="1148"/>
    </row>
    <row r="24" spans="1:131" s="1149" customFormat="1" ht="19.5" customHeight="1">
      <c r="A24" s="1152"/>
      <c r="B24" s="1153"/>
      <c r="C24" s="1153"/>
      <c r="D24" s="1153"/>
      <c r="E24" s="1153"/>
      <c r="F24" s="1154"/>
      <c r="G24" s="1154"/>
      <c r="H24" s="1154"/>
      <c r="I24" s="1154"/>
      <c r="J24" s="1154"/>
      <c r="K24" s="1154"/>
      <c r="L24" s="1153"/>
      <c r="M24" s="1153"/>
      <c r="N24" s="1154"/>
      <c r="O24" s="1154"/>
      <c r="P24" s="1155"/>
      <c r="Q24" s="1153"/>
      <c r="R24" s="1154"/>
      <c r="S24" s="1154"/>
      <c r="T24" s="1153"/>
      <c r="U24" s="1156"/>
      <c r="V24" s="1148"/>
      <c r="W24" s="1148"/>
      <c r="X24" s="1148"/>
      <c r="Y24" s="1148"/>
      <c r="Z24" s="1148"/>
      <c r="AA24" s="1148"/>
      <c r="AB24" s="1148"/>
      <c r="AC24" s="1148"/>
      <c r="AD24" s="1148"/>
      <c r="AE24" s="1148"/>
      <c r="AF24" s="1148"/>
      <c r="AG24" s="1148"/>
      <c r="AH24" s="1148"/>
      <c r="AI24" s="1148"/>
      <c r="AJ24" s="1148"/>
      <c r="AK24" s="1148"/>
      <c r="AL24" s="1148"/>
      <c r="AM24" s="1148"/>
      <c r="AN24" s="1148"/>
      <c r="AO24" s="1148"/>
      <c r="AP24" s="1148"/>
      <c r="AQ24" s="1148"/>
      <c r="AR24" s="1148"/>
      <c r="AS24" s="1148"/>
      <c r="AT24" s="1148"/>
      <c r="AU24" s="1148"/>
      <c r="AV24" s="1148"/>
      <c r="AW24" s="1148"/>
      <c r="AX24" s="1148"/>
      <c r="AY24" s="1148"/>
      <c r="AZ24" s="1148"/>
      <c r="BA24" s="1148"/>
      <c r="BB24" s="1148"/>
      <c r="BC24" s="1148"/>
      <c r="BD24" s="1148"/>
      <c r="BE24" s="1148"/>
      <c r="BF24" s="1148"/>
      <c r="BG24" s="1148"/>
      <c r="BH24" s="1148"/>
      <c r="BI24" s="1148"/>
      <c r="BJ24" s="1148"/>
      <c r="BK24" s="1148"/>
      <c r="BL24" s="1148"/>
      <c r="BM24" s="1148"/>
      <c r="BN24" s="1148"/>
      <c r="BO24" s="1148"/>
      <c r="BP24" s="1148"/>
      <c r="BQ24" s="1148"/>
      <c r="BR24" s="1148"/>
      <c r="BS24" s="1148"/>
      <c r="BT24" s="1148"/>
      <c r="BU24" s="1148"/>
      <c r="BV24" s="1148"/>
      <c r="BW24" s="1148"/>
      <c r="BX24" s="1148"/>
      <c r="BY24" s="1148"/>
      <c r="BZ24" s="1148"/>
      <c r="CA24" s="1148"/>
      <c r="CB24" s="1148"/>
      <c r="CC24" s="1148"/>
      <c r="CD24" s="1148"/>
      <c r="CE24" s="1148"/>
      <c r="CF24" s="1148"/>
      <c r="CG24" s="1148"/>
      <c r="CH24" s="1148"/>
      <c r="CI24" s="1148"/>
      <c r="CJ24" s="1148"/>
      <c r="CK24" s="1148"/>
      <c r="CL24" s="1148"/>
      <c r="CM24" s="1148"/>
      <c r="CN24" s="1148"/>
      <c r="CO24" s="1148"/>
      <c r="CP24" s="1148"/>
      <c r="CQ24" s="1148"/>
      <c r="CR24" s="1148"/>
      <c r="CS24" s="1148"/>
      <c r="CT24" s="1148"/>
      <c r="CU24" s="1148"/>
      <c r="CV24" s="1148"/>
      <c r="CW24" s="1148"/>
      <c r="CX24" s="1148"/>
      <c r="CY24" s="1148"/>
      <c r="CZ24" s="1148"/>
      <c r="DA24" s="1148"/>
      <c r="DB24" s="1148"/>
      <c r="DC24" s="1148"/>
      <c r="DD24" s="1148"/>
      <c r="DE24" s="1148"/>
      <c r="DF24" s="1148"/>
      <c r="DG24" s="1148"/>
      <c r="DH24" s="1148"/>
      <c r="DI24" s="1148"/>
      <c r="DJ24" s="1148"/>
      <c r="DK24" s="1148"/>
      <c r="DL24" s="1148"/>
      <c r="DM24" s="1148"/>
      <c r="DN24" s="1148"/>
      <c r="DO24" s="1148"/>
      <c r="DP24" s="1148"/>
      <c r="DQ24" s="1148"/>
      <c r="DR24" s="1148"/>
      <c r="DS24" s="1148"/>
      <c r="DT24" s="1148"/>
      <c r="DU24" s="1148"/>
      <c r="DV24" s="1148"/>
      <c r="DW24" s="1148"/>
      <c r="DX24" s="1148"/>
      <c r="DY24" s="1148"/>
      <c r="DZ24" s="1148"/>
      <c r="EA24" s="1148"/>
    </row>
    <row r="25" spans="1:131" s="1157" customFormat="1" ht="40.5" hidden="1" customHeight="1">
      <c r="A25" s="1536" t="s">
        <v>805</v>
      </c>
      <c r="B25" s="1536"/>
      <c r="C25" s="1536"/>
      <c r="D25" s="1536"/>
      <c r="E25" s="1536"/>
      <c r="F25" s="1536"/>
      <c r="G25" s="1536"/>
      <c r="H25" s="1536"/>
      <c r="I25" s="1536"/>
      <c r="J25" s="1536"/>
      <c r="K25" s="1536"/>
      <c r="L25" s="1536"/>
      <c r="M25" s="1536"/>
      <c r="N25" s="1536"/>
      <c r="O25" s="1536"/>
      <c r="P25" s="1536"/>
      <c r="Q25" s="1536"/>
      <c r="R25" s="1536"/>
      <c r="S25" s="1536"/>
      <c r="T25" s="1536"/>
      <c r="U25" s="1536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</row>
    <row r="26" spans="1:131" s="1157" customFormat="1" ht="30" hidden="1" customHeight="1">
      <c r="A26" s="1158" t="s">
        <v>806</v>
      </c>
      <c r="B26" s="1158"/>
      <c r="C26" s="1158"/>
      <c r="D26" s="1158"/>
      <c r="E26" s="1158"/>
      <c r="F26" s="1158"/>
      <c r="G26" s="1158"/>
      <c r="H26" s="1158"/>
      <c r="I26" s="1158"/>
      <c r="J26" s="1159"/>
      <c r="K26" s="1159"/>
      <c r="L26" s="1159"/>
      <c r="M26" s="1160"/>
      <c r="N26" s="1159"/>
      <c r="O26" s="1159"/>
      <c r="P26" s="1159"/>
      <c r="Q26" s="1159"/>
      <c r="R26" s="1159"/>
      <c r="S26" s="1161"/>
      <c r="T26" s="1161"/>
      <c r="U26" s="1161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</row>
    <row r="27" spans="1:131" s="1157" customFormat="1" ht="30" hidden="1" customHeight="1">
      <c r="A27" s="1158" t="s">
        <v>807</v>
      </c>
      <c r="B27" s="1158"/>
      <c r="C27" s="1158"/>
      <c r="D27" s="1158"/>
      <c r="E27" s="1158"/>
      <c r="F27" s="1158"/>
      <c r="G27" s="1158"/>
      <c r="H27" s="1158"/>
      <c r="I27" s="1158"/>
      <c r="J27" s="1158"/>
      <c r="K27" s="1158"/>
      <c r="L27" s="1158"/>
      <c r="M27" s="1162"/>
      <c r="N27" s="1158"/>
      <c r="O27" s="1158"/>
      <c r="P27" s="1158"/>
      <c r="Q27" s="1158"/>
      <c r="R27" s="1158"/>
      <c r="S27" s="1158"/>
      <c r="T27" s="1158"/>
      <c r="U27" s="1163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</row>
    <row r="28" spans="1:131" s="1157" customFormat="1" ht="30" hidden="1" customHeight="1">
      <c r="A28" s="1158" t="s">
        <v>808</v>
      </c>
      <c r="B28" s="1158"/>
      <c r="C28" s="1158"/>
      <c r="D28" s="1158"/>
      <c r="E28" s="1158"/>
      <c r="F28" s="1158"/>
      <c r="G28" s="1158"/>
      <c r="H28" s="1158"/>
      <c r="I28" s="1158"/>
      <c r="J28" s="1159"/>
      <c r="K28" s="1159"/>
      <c r="L28" s="1159"/>
      <c r="M28" s="1160"/>
      <c r="N28" s="1159"/>
      <c r="O28" s="1160"/>
      <c r="P28" s="1159"/>
      <c r="Q28" s="1159"/>
      <c r="R28" s="1159"/>
      <c r="S28" s="1164"/>
      <c r="T28" s="1164"/>
      <c r="U28" s="1164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</row>
    <row r="29" spans="1:131" s="1157" customFormat="1" ht="30" hidden="1" customHeight="1">
      <c r="A29" s="1159" t="s">
        <v>809</v>
      </c>
      <c r="B29" s="1164"/>
      <c r="C29" s="1164"/>
      <c r="D29" s="1164"/>
      <c r="E29" s="1164"/>
      <c r="F29" s="1164"/>
      <c r="G29" s="1164"/>
      <c r="H29" s="1164"/>
      <c r="I29" s="1164"/>
      <c r="J29" s="1164"/>
      <c r="K29" s="1164"/>
      <c r="L29" s="1164"/>
      <c r="M29" s="1164"/>
      <c r="N29" s="1164"/>
      <c r="O29" s="1164"/>
      <c r="P29" s="1164"/>
      <c r="Q29" s="1164"/>
      <c r="R29" s="1164"/>
      <c r="S29" s="1161"/>
      <c r="T29" s="1161"/>
      <c r="U29" s="1161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</row>
    <row r="30" spans="1:131" s="1157" customFormat="1" ht="30" hidden="1" customHeight="1">
      <c r="A30" s="1165" t="s">
        <v>810</v>
      </c>
      <c r="B30" s="1166"/>
      <c r="C30" s="1166"/>
      <c r="D30" s="1166"/>
      <c r="E30" s="1166"/>
      <c r="F30" s="1166"/>
      <c r="G30" s="1166"/>
      <c r="H30" s="1166"/>
      <c r="I30" s="1166"/>
      <c r="J30" s="1166"/>
      <c r="K30" s="1166"/>
      <c r="L30" s="1166"/>
      <c r="M30" s="1160"/>
      <c r="N30" s="1159"/>
      <c r="O30" s="1159"/>
      <c r="P30" s="1159"/>
      <c r="Q30" s="1159"/>
      <c r="R30" s="1159"/>
      <c r="S30" s="1161"/>
      <c r="T30" s="1161"/>
      <c r="U30" s="1161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</row>
    <row r="31" spans="1:131" s="1157" customFormat="1" ht="30" hidden="1" customHeight="1">
      <c r="A31" s="1158" t="s">
        <v>811</v>
      </c>
      <c r="B31" s="1167"/>
      <c r="C31" s="1167"/>
      <c r="D31" s="1167"/>
      <c r="E31" s="1167"/>
      <c r="F31" s="1167"/>
      <c r="G31" s="1167"/>
      <c r="H31" s="1167"/>
      <c r="I31" s="1167"/>
      <c r="J31" s="1167"/>
      <c r="K31" s="1167"/>
      <c r="L31" s="1167"/>
      <c r="M31" s="1159"/>
      <c r="N31" s="1159"/>
      <c r="O31" s="1159"/>
      <c r="P31" s="1159"/>
      <c r="Q31" s="1159"/>
      <c r="R31" s="1159"/>
      <c r="S31" s="1161"/>
      <c r="T31" s="1161"/>
      <c r="U31" s="1161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</row>
    <row r="32" spans="1:131" s="1157" customFormat="1" ht="30" hidden="1" customHeight="1">
      <c r="A32" s="1158" t="s">
        <v>812</v>
      </c>
      <c r="B32" s="1159"/>
      <c r="C32" s="1159"/>
      <c r="D32" s="1159"/>
      <c r="E32" s="1159"/>
      <c r="F32" s="1159"/>
      <c r="G32" s="1159"/>
      <c r="H32" s="1159"/>
      <c r="I32" s="1159"/>
      <c r="J32" s="1159"/>
      <c r="K32" s="1159"/>
      <c r="L32" s="1159"/>
      <c r="M32" s="1159"/>
      <c r="N32" s="1159"/>
      <c r="O32" s="1159"/>
      <c r="P32" s="1159"/>
      <c r="Q32" s="1159"/>
      <c r="R32" s="1159"/>
      <c r="S32" s="1161"/>
      <c r="T32" s="1161"/>
      <c r="U32" s="1161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</row>
    <row r="33" spans="1:131" s="1157" customFormat="1" ht="30" hidden="1" customHeight="1">
      <c r="A33" s="1165" t="s">
        <v>813</v>
      </c>
      <c r="B33" s="1166"/>
      <c r="C33" s="1166"/>
      <c r="D33" s="1159"/>
      <c r="E33" s="1159"/>
      <c r="F33" s="1159"/>
      <c r="G33" s="1159"/>
      <c r="H33" s="1159"/>
      <c r="I33" s="1159"/>
      <c r="J33" s="1159"/>
      <c r="K33" s="1159"/>
      <c r="L33" s="1159"/>
      <c r="M33" s="1159"/>
      <c r="N33" s="1159"/>
      <c r="O33" s="1159"/>
      <c r="P33" s="1159"/>
      <c r="Q33" s="1159"/>
      <c r="R33" s="1159"/>
      <c r="S33" s="1161"/>
      <c r="T33" s="1161"/>
      <c r="U33" s="1161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</row>
    <row r="34" spans="1:131" s="1157" customFormat="1" ht="30" hidden="1" customHeight="1">
      <c r="A34" s="1168" t="s">
        <v>728</v>
      </c>
      <c r="B34" s="1159"/>
      <c r="C34" s="1159"/>
      <c r="D34" s="1159"/>
      <c r="E34" s="1159"/>
      <c r="F34" s="1159"/>
      <c r="G34" s="1159"/>
      <c r="H34" s="1159"/>
      <c r="I34" s="1159"/>
      <c r="J34" s="1159"/>
      <c r="K34" s="1159"/>
      <c r="L34" s="1159"/>
      <c r="M34" s="1159"/>
      <c r="N34" s="1159"/>
      <c r="O34" s="1159"/>
      <c r="P34" s="1159"/>
      <c r="Q34" s="1159"/>
      <c r="R34" s="1159"/>
      <c r="S34" s="1161"/>
      <c r="T34" s="1161"/>
      <c r="U34" s="1161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</row>
    <row r="35" spans="1:131" s="1157" customFormat="1" ht="30" hidden="1" customHeight="1">
      <c r="A35" s="1168" t="s">
        <v>814</v>
      </c>
      <c r="B35" s="1159"/>
      <c r="C35" s="1159"/>
      <c r="D35" s="1159"/>
      <c r="E35" s="1159"/>
      <c r="F35" s="1159"/>
      <c r="G35" s="1159"/>
      <c r="H35" s="1159"/>
      <c r="I35" s="1159"/>
      <c r="J35" s="1159"/>
      <c r="K35" s="1159"/>
      <c r="L35" s="1159"/>
      <c r="M35" s="1159"/>
      <c r="N35" s="1159"/>
      <c r="O35" s="1159"/>
      <c r="P35" s="1159"/>
      <c r="Q35" s="1159"/>
      <c r="R35" s="1159"/>
      <c r="S35" s="1161"/>
      <c r="T35" s="1161"/>
      <c r="U35" s="1161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</row>
    <row r="36" spans="1:131" s="1157" customFormat="1" ht="30" customHeight="1">
      <c r="A36" s="1169"/>
      <c r="B36" s="1159"/>
      <c r="C36" s="1159"/>
      <c r="D36" s="1159"/>
      <c r="E36" s="1159"/>
      <c r="F36" s="1159"/>
      <c r="G36" s="1159"/>
      <c r="H36" s="1159"/>
      <c r="I36" s="1159"/>
      <c r="J36" s="1159"/>
      <c r="K36" s="1159"/>
      <c r="L36" s="1159"/>
      <c r="M36" s="1159"/>
      <c r="N36" s="1159"/>
      <c r="O36" s="1159"/>
      <c r="P36" s="1159"/>
      <c r="Q36" s="1159"/>
      <c r="R36" s="1159"/>
      <c r="S36" s="1161"/>
      <c r="T36" s="1161"/>
      <c r="U36" s="1161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</row>
    <row r="37" spans="1:131" s="1182" customFormat="1" ht="23.25" customHeight="1">
      <c r="A37" s="1283" t="s">
        <v>831</v>
      </c>
      <c r="B37" s="1283"/>
      <c r="C37" s="1283"/>
      <c r="D37" s="1283"/>
      <c r="E37" s="1283"/>
      <c r="F37" s="1283"/>
      <c r="G37" s="1283"/>
      <c r="H37" s="1284" t="s">
        <v>816</v>
      </c>
      <c r="I37" s="1284"/>
      <c r="J37" s="1284"/>
      <c r="K37" s="1284"/>
      <c r="L37" s="1179"/>
      <c r="M37" s="1179"/>
      <c r="N37" s="1179"/>
      <c r="O37" s="1179"/>
      <c r="Q37" s="1179"/>
      <c r="R37" s="1179" t="s">
        <v>830</v>
      </c>
      <c r="S37" s="1180"/>
      <c r="T37" s="1180"/>
      <c r="U37" s="1180"/>
      <c r="V37" s="1181"/>
      <c r="W37" s="1181"/>
      <c r="X37" s="1181"/>
      <c r="Y37" s="1181"/>
      <c r="Z37" s="1181"/>
      <c r="AA37" s="1181"/>
      <c r="AB37" s="1181"/>
      <c r="AC37" s="1181"/>
      <c r="AD37" s="1181"/>
      <c r="AE37" s="1181"/>
      <c r="AF37" s="1181"/>
      <c r="AG37" s="1181"/>
      <c r="AH37" s="1181"/>
      <c r="AI37" s="1181"/>
      <c r="AJ37" s="1181"/>
      <c r="AK37" s="1181"/>
      <c r="AL37" s="1181"/>
      <c r="AM37" s="1181"/>
      <c r="AN37" s="1181"/>
      <c r="AO37" s="1181"/>
      <c r="AP37" s="1181"/>
      <c r="AQ37" s="1181"/>
      <c r="AR37" s="1181"/>
      <c r="AS37" s="1181"/>
      <c r="AT37" s="1181"/>
      <c r="AU37" s="1181"/>
      <c r="AV37" s="1181"/>
      <c r="AW37" s="1181"/>
      <c r="AX37" s="1181"/>
      <c r="AY37" s="1181"/>
      <c r="AZ37" s="1181"/>
      <c r="BA37" s="1181"/>
      <c r="BB37" s="1181"/>
      <c r="BC37" s="1181"/>
      <c r="BD37" s="1181"/>
      <c r="BE37" s="1181"/>
      <c r="BF37" s="1181"/>
      <c r="BG37" s="1181"/>
      <c r="BH37" s="1181"/>
      <c r="BI37" s="1181"/>
      <c r="BJ37" s="1181"/>
      <c r="BK37" s="1181"/>
      <c r="BL37" s="1181"/>
      <c r="BM37" s="1181"/>
      <c r="BN37" s="1181"/>
      <c r="BO37" s="1181"/>
      <c r="BP37" s="1181"/>
      <c r="BQ37" s="1181"/>
      <c r="BR37" s="1181"/>
      <c r="BS37" s="1181"/>
      <c r="BT37" s="1181"/>
      <c r="BU37" s="1181"/>
      <c r="BV37" s="1181"/>
      <c r="BW37" s="1181"/>
      <c r="BX37" s="1181"/>
      <c r="BY37" s="1181"/>
      <c r="BZ37" s="1181"/>
      <c r="CA37" s="1181"/>
      <c r="CB37" s="1181"/>
      <c r="CC37" s="1181"/>
      <c r="CD37" s="1181"/>
      <c r="CE37" s="1181"/>
      <c r="CF37" s="1181"/>
      <c r="CG37" s="1181"/>
      <c r="CH37" s="1181"/>
      <c r="CI37" s="1181"/>
      <c r="CJ37" s="1181"/>
      <c r="CK37" s="1181"/>
      <c r="CL37" s="1181"/>
      <c r="CM37" s="1181"/>
      <c r="CN37" s="1181"/>
      <c r="CO37" s="1181"/>
      <c r="CP37" s="1181"/>
      <c r="CQ37" s="1181"/>
      <c r="CR37" s="1181"/>
      <c r="CS37" s="1181"/>
      <c r="CT37" s="1181"/>
      <c r="CU37" s="1181"/>
      <c r="CV37" s="1181"/>
      <c r="CW37" s="1181"/>
      <c r="CX37" s="1181"/>
      <c r="CY37" s="1181"/>
      <c r="CZ37" s="1181"/>
      <c r="DA37" s="1181"/>
      <c r="DB37" s="1181"/>
      <c r="DC37" s="1181"/>
      <c r="DD37" s="1181"/>
      <c r="DE37" s="1181"/>
      <c r="DF37" s="1181"/>
      <c r="DG37" s="1181"/>
      <c r="DH37" s="1181"/>
      <c r="DI37" s="1181"/>
      <c r="DJ37" s="1181"/>
      <c r="DK37" s="1181"/>
      <c r="DL37" s="1181"/>
      <c r="DM37" s="1181"/>
      <c r="DN37" s="1181"/>
      <c r="DO37" s="1181"/>
      <c r="DP37" s="1181"/>
      <c r="DQ37" s="1181"/>
      <c r="DR37" s="1181"/>
      <c r="DS37" s="1181"/>
      <c r="DT37" s="1181"/>
      <c r="DU37" s="1181"/>
      <c r="DV37" s="1181"/>
      <c r="DW37" s="1181"/>
      <c r="DX37" s="1181"/>
      <c r="DY37" s="1181"/>
      <c r="DZ37" s="1181"/>
      <c r="EA37" s="1181"/>
    </row>
    <row r="38" spans="1:131" s="1157" customFormat="1" ht="25.5" customHeight="1">
      <c r="A38" s="1254"/>
      <c r="B38" s="1254"/>
      <c r="C38" s="1254"/>
      <c r="D38" s="1254"/>
      <c r="E38" s="1254"/>
      <c r="F38" s="1254"/>
      <c r="G38" s="1254"/>
      <c r="H38" s="1255"/>
      <c r="I38" s="1255"/>
      <c r="J38" s="1255"/>
      <c r="K38" s="1255"/>
      <c r="L38" s="1171"/>
      <c r="M38" s="1171"/>
      <c r="N38" s="1171"/>
      <c r="O38" s="1171"/>
      <c r="P38" s="1171"/>
      <c r="Q38" s="1171"/>
      <c r="R38" s="1171"/>
      <c r="S38" s="1161"/>
      <c r="T38" s="1161"/>
      <c r="U38" s="1161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</row>
    <row r="39" spans="1:131" s="1157" customFormat="1" ht="24.75" customHeight="1">
      <c r="A39" s="1173"/>
      <c r="B39" s="1174"/>
      <c r="C39" s="1174"/>
      <c r="D39" s="1175"/>
      <c r="E39" s="1176"/>
      <c r="F39" s="1177"/>
      <c r="G39" s="1177"/>
      <c r="H39" s="1177"/>
      <c r="I39" s="1177"/>
      <c r="J39" s="1176"/>
      <c r="K39" s="1176"/>
      <c r="L39" s="1176"/>
      <c r="M39" s="1176"/>
      <c r="N39" s="1176"/>
      <c r="O39" s="1176"/>
      <c r="P39" s="1176"/>
      <c r="Q39" s="1176"/>
      <c r="R39" s="1176"/>
      <c r="S39" s="1176"/>
      <c r="T39" s="1176"/>
      <c r="U39" s="1176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</row>
    <row r="43" spans="1:131" ht="20.25">
      <c r="A43" s="1169"/>
    </row>
    <row r="44" spans="1:131" ht="20.25">
      <c r="A44" s="1169"/>
    </row>
  </sheetData>
  <mergeCells count="34">
    <mergeCell ref="A1:U1"/>
    <mergeCell ref="T2:U2"/>
    <mergeCell ref="A4:U4"/>
    <mergeCell ref="A6:A11"/>
    <mergeCell ref="B6:B11"/>
    <mergeCell ref="C6:C11"/>
    <mergeCell ref="D6:D10"/>
    <mergeCell ref="E6:E10"/>
    <mergeCell ref="F6:I7"/>
    <mergeCell ref="J6:U6"/>
    <mergeCell ref="J7:M7"/>
    <mergeCell ref="N7:Q7"/>
    <mergeCell ref="R7:U7"/>
    <mergeCell ref="F8:F10"/>
    <mergeCell ref="G8:G10"/>
    <mergeCell ref="H8:H10"/>
    <mergeCell ref="I8:I10"/>
    <mergeCell ref="J8:J10"/>
    <mergeCell ref="K8:K10"/>
    <mergeCell ref="L8:L10"/>
    <mergeCell ref="A20:A23"/>
    <mergeCell ref="A25:U25"/>
    <mergeCell ref="S8:S10"/>
    <mergeCell ref="T8:T10"/>
    <mergeCell ref="U8:U10"/>
    <mergeCell ref="A12:A15"/>
    <mergeCell ref="A16:A19"/>
    <mergeCell ref="C16:C19"/>
    <mergeCell ref="M8:M10"/>
    <mergeCell ref="N8:N10"/>
    <mergeCell ref="O8:O10"/>
    <mergeCell ref="P8:P10"/>
    <mergeCell ref="Q8:Q10"/>
    <mergeCell ref="R8:R10"/>
  </mergeCells>
  <printOptions horizontalCentered="1"/>
  <pageMargins left="0.39370078740157483" right="0.39370078740157483" top="0.98425196850393704" bottom="0.78740157480314965" header="0.78740157480314965" footer="0.39370078740157483"/>
  <pageSetup paperSize="9" scale="33" orientation="landscape" r:id="rId1"/>
  <headerFooter>
    <oddHeader>&amp;R&amp;"Arial CE,Tučné"&amp;22Tabulka č. 9/e</oddHeader>
    <oddFooter xml:space="preserve">&amp;C&amp;20&amp;P+30
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EA44"/>
  <sheetViews>
    <sheetView showGridLines="0" zoomScale="53" zoomScaleNormal="53" workbookViewId="0">
      <selection activeCell="F20" sqref="F20"/>
    </sheetView>
  </sheetViews>
  <sheetFormatPr defaultColWidth="9.140625" defaultRowHeight="15"/>
  <cols>
    <col min="1" max="1" width="59.5703125" style="29" customWidth="1"/>
    <col min="2" max="2" width="35.5703125" style="29" customWidth="1"/>
    <col min="3" max="3" width="17.85546875" style="29" customWidth="1"/>
    <col min="4" max="4" width="16.5703125" style="29" customWidth="1"/>
    <col min="5" max="5" width="15.5703125" style="29" customWidth="1"/>
    <col min="6" max="6" width="22.7109375" style="29" customWidth="1"/>
    <col min="7" max="7" width="16.28515625" style="29" customWidth="1"/>
    <col min="8" max="8" width="19.28515625" style="29" customWidth="1"/>
    <col min="9" max="9" width="14.5703125" style="29" customWidth="1"/>
    <col min="10" max="10" width="16.140625" style="29" customWidth="1"/>
    <col min="11" max="11" width="15.140625" style="29" customWidth="1"/>
    <col min="12" max="12" width="19.28515625" style="29" customWidth="1"/>
    <col min="13" max="13" width="18.42578125" style="29" customWidth="1"/>
    <col min="14" max="14" width="16" style="29" customWidth="1"/>
    <col min="15" max="15" width="16.85546875" style="29" bestFit="1" customWidth="1"/>
    <col min="16" max="16" width="19.28515625" style="29" customWidth="1"/>
    <col min="17" max="17" width="21" style="29" customWidth="1"/>
    <col min="18" max="18" width="16.140625" style="29" customWidth="1"/>
    <col min="19" max="19" width="14.42578125" style="29" customWidth="1"/>
    <col min="20" max="20" width="19.28515625" style="29" customWidth="1"/>
    <col min="21" max="21" width="20.42578125" style="29" customWidth="1"/>
    <col min="22" max="22" width="13.5703125" style="32" bestFit="1" customWidth="1"/>
    <col min="23" max="131" width="9.140625" style="32" customWidth="1"/>
    <col min="132" max="16384" width="9.140625" style="29"/>
  </cols>
  <sheetData>
    <row r="1" spans="1:131" ht="20.100000000000001" customHeight="1">
      <c r="A1" s="1583"/>
      <c r="B1" s="1583"/>
      <c r="C1" s="1583"/>
      <c r="D1" s="1583"/>
      <c r="E1" s="1583"/>
      <c r="F1" s="1583"/>
      <c r="G1" s="1583"/>
      <c r="H1" s="1583"/>
      <c r="I1" s="1583"/>
      <c r="J1" s="1583"/>
      <c r="K1" s="1583"/>
      <c r="L1" s="1583"/>
      <c r="M1" s="1583"/>
      <c r="N1" s="1583"/>
      <c r="O1" s="1583"/>
      <c r="P1" s="1583"/>
      <c r="Q1" s="1583"/>
      <c r="R1" s="1583"/>
      <c r="S1" s="1583"/>
      <c r="T1" s="1583"/>
      <c r="U1" s="1583"/>
    </row>
    <row r="2" spans="1:131" ht="29.25" customHeight="1">
      <c r="A2" s="1288" t="s">
        <v>821</v>
      </c>
      <c r="B2" s="1136"/>
      <c r="C2" s="1136"/>
      <c r="D2" s="1136"/>
      <c r="E2" s="1136"/>
      <c r="F2" s="1136"/>
      <c r="G2" s="1136"/>
      <c r="H2" s="1136"/>
      <c r="I2" s="1136"/>
      <c r="J2" s="1136"/>
      <c r="K2" s="1136"/>
      <c r="L2" s="1136"/>
      <c r="M2" s="1136"/>
      <c r="N2" s="1136"/>
      <c r="O2" s="1136"/>
      <c r="P2" s="1136"/>
      <c r="Q2" s="1136"/>
      <c r="R2" s="1136"/>
      <c r="S2" s="1136"/>
      <c r="T2" s="1548"/>
      <c r="U2" s="1548"/>
    </row>
    <row r="3" spans="1:131" ht="39" customHeight="1">
      <c r="A3" s="1282" t="s">
        <v>829</v>
      </c>
      <c r="B3" s="1136"/>
      <c r="C3" s="1136"/>
      <c r="D3" s="1136"/>
      <c r="E3" s="1136"/>
      <c r="F3" s="1136"/>
      <c r="G3" s="1136"/>
      <c r="H3" s="1136"/>
      <c r="I3" s="1136"/>
      <c r="J3" s="1136"/>
      <c r="K3" s="1136"/>
      <c r="L3" s="1136"/>
      <c r="M3" s="1136"/>
      <c r="N3" s="1136"/>
      <c r="O3" s="1136"/>
      <c r="P3" s="1136"/>
      <c r="Q3" s="1136"/>
      <c r="R3" s="1136"/>
      <c r="S3" s="1136"/>
      <c r="T3" s="1219"/>
      <c r="U3" s="1219"/>
    </row>
    <row r="4" spans="1:131" ht="51" customHeight="1">
      <c r="A4" s="1549" t="s">
        <v>818</v>
      </c>
      <c r="B4" s="1549"/>
      <c r="C4" s="1549"/>
      <c r="D4" s="1549"/>
      <c r="E4" s="1549"/>
      <c r="F4" s="1549"/>
      <c r="G4" s="1549"/>
      <c r="H4" s="1549"/>
      <c r="I4" s="1549"/>
      <c r="J4" s="1549"/>
      <c r="K4" s="1549"/>
      <c r="L4" s="1549"/>
      <c r="M4" s="1549"/>
      <c r="N4" s="1549"/>
      <c r="O4" s="1549"/>
      <c r="P4" s="1549"/>
      <c r="Q4" s="1549"/>
      <c r="R4" s="1549"/>
      <c r="S4" s="1549"/>
      <c r="T4" s="1549"/>
      <c r="U4" s="1549"/>
    </row>
    <row r="5" spans="1:131" ht="57" customHeight="1" thickBot="1">
      <c r="A5" s="1138"/>
      <c r="B5" s="1138"/>
      <c r="C5" s="1138"/>
      <c r="D5" s="1138"/>
      <c r="E5" s="1138"/>
      <c r="F5" s="1138"/>
      <c r="G5" s="1138"/>
      <c r="H5" s="1138"/>
      <c r="I5" s="1138"/>
      <c r="J5" s="1138"/>
      <c r="K5" s="1138"/>
      <c r="L5" s="1138"/>
      <c r="M5" s="1138"/>
      <c r="N5" s="1138"/>
      <c r="O5" s="1138"/>
      <c r="P5" s="1138"/>
      <c r="Q5" s="1138"/>
      <c r="R5" s="1138"/>
      <c r="S5" s="1138"/>
      <c r="T5" s="1138"/>
      <c r="U5" s="1138"/>
    </row>
    <row r="6" spans="1:131" ht="45.75" customHeight="1">
      <c r="A6" s="1550"/>
      <c r="B6" s="1553" t="s">
        <v>782</v>
      </c>
      <c r="C6" s="1553" t="s">
        <v>783</v>
      </c>
      <c r="D6" s="1553" t="s">
        <v>784</v>
      </c>
      <c r="E6" s="1553" t="s">
        <v>785</v>
      </c>
      <c r="F6" s="1585" t="s">
        <v>786</v>
      </c>
      <c r="G6" s="1586"/>
      <c r="H6" s="1586"/>
      <c r="I6" s="1586"/>
      <c r="J6" s="1589" t="s">
        <v>787</v>
      </c>
      <c r="K6" s="1590"/>
      <c r="L6" s="1590"/>
      <c r="M6" s="1590"/>
      <c r="N6" s="1590"/>
      <c r="O6" s="1590"/>
      <c r="P6" s="1590"/>
      <c r="Q6" s="1590"/>
      <c r="R6" s="1590"/>
      <c r="S6" s="1590"/>
      <c r="T6" s="1590"/>
      <c r="U6" s="1591"/>
    </row>
    <row r="7" spans="1:131" ht="51.75" customHeight="1">
      <c r="A7" s="1551"/>
      <c r="B7" s="1554"/>
      <c r="C7" s="1554"/>
      <c r="D7" s="1554"/>
      <c r="E7" s="1554"/>
      <c r="F7" s="1587"/>
      <c r="G7" s="1588"/>
      <c r="H7" s="1588"/>
      <c r="I7" s="1588"/>
      <c r="J7" s="1580" t="s">
        <v>788</v>
      </c>
      <c r="K7" s="1581"/>
      <c r="L7" s="1581"/>
      <c r="M7" s="1582"/>
      <c r="N7" s="1580" t="s">
        <v>789</v>
      </c>
      <c r="O7" s="1581"/>
      <c r="P7" s="1581"/>
      <c r="Q7" s="1582"/>
      <c r="R7" s="1581" t="s">
        <v>17</v>
      </c>
      <c r="S7" s="1581"/>
      <c r="T7" s="1581"/>
      <c r="U7" s="1582"/>
    </row>
    <row r="8" spans="1:131" ht="21" customHeight="1">
      <c r="A8" s="1551"/>
      <c r="B8" s="1554"/>
      <c r="C8" s="1554"/>
      <c r="D8" s="1554"/>
      <c r="E8" s="1554"/>
      <c r="F8" s="1567" t="s">
        <v>790</v>
      </c>
      <c r="G8" s="1567" t="s">
        <v>791</v>
      </c>
      <c r="H8" s="1567" t="s">
        <v>792</v>
      </c>
      <c r="I8" s="1527" t="s">
        <v>17</v>
      </c>
      <c r="J8" s="1530" t="s">
        <v>793</v>
      </c>
      <c r="K8" s="1533" t="s">
        <v>794</v>
      </c>
      <c r="L8" s="1533" t="s">
        <v>795</v>
      </c>
      <c r="M8" s="1537" t="s">
        <v>17</v>
      </c>
      <c r="N8" s="1530" t="s">
        <v>793</v>
      </c>
      <c r="O8" s="1533" t="s">
        <v>794</v>
      </c>
      <c r="P8" s="1533" t="s">
        <v>795</v>
      </c>
      <c r="Q8" s="1537" t="s">
        <v>17</v>
      </c>
      <c r="R8" s="1524" t="s">
        <v>793</v>
      </c>
      <c r="S8" s="1533" t="s">
        <v>794</v>
      </c>
      <c r="T8" s="1533" t="s">
        <v>795</v>
      </c>
      <c r="U8" s="1537" t="s">
        <v>17</v>
      </c>
    </row>
    <row r="9" spans="1:131" ht="12.75" customHeight="1">
      <c r="A9" s="1551"/>
      <c r="B9" s="1554"/>
      <c r="C9" s="1554"/>
      <c r="D9" s="1554"/>
      <c r="E9" s="1554"/>
      <c r="F9" s="1554"/>
      <c r="G9" s="1554"/>
      <c r="H9" s="1554"/>
      <c r="I9" s="1528"/>
      <c r="J9" s="1531"/>
      <c r="K9" s="1534"/>
      <c r="L9" s="1534"/>
      <c r="M9" s="1538"/>
      <c r="N9" s="1531"/>
      <c r="O9" s="1534"/>
      <c r="P9" s="1534"/>
      <c r="Q9" s="1538"/>
      <c r="R9" s="1525"/>
      <c r="S9" s="1534"/>
      <c r="T9" s="1534"/>
      <c r="U9" s="1538"/>
    </row>
    <row r="10" spans="1:131" ht="134.25" customHeight="1">
      <c r="A10" s="1551"/>
      <c r="B10" s="1554"/>
      <c r="C10" s="1554"/>
      <c r="D10" s="1556"/>
      <c r="E10" s="1556"/>
      <c r="F10" s="1556"/>
      <c r="G10" s="1556"/>
      <c r="H10" s="1556"/>
      <c r="I10" s="1529"/>
      <c r="J10" s="1532"/>
      <c r="K10" s="1535"/>
      <c r="L10" s="1535"/>
      <c r="M10" s="1539"/>
      <c r="N10" s="1532"/>
      <c r="O10" s="1535"/>
      <c r="P10" s="1535"/>
      <c r="Q10" s="1539"/>
      <c r="R10" s="1526"/>
      <c r="S10" s="1535"/>
      <c r="T10" s="1535"/>
      <c r="U10" s="1539"/>
    </row>
    <row r="11" spans="1:131" s="1149" customFormat="1" ht="44.25" customHeight="1" thickBot="1">
      <c r="A11" s="1552"/>
      <c r="B11" s="1555"/>
      <c r="C11" s="1555"/>
      <c r="D11" s="1139">
        <v>1</v>
      </c>
      <c r="E11" s="1139">
        <v>2</v>
      </c>
      <c r="F11" s="1140">
        <v>3</v>
      </c>
      <c r="G11" s="1140">
        <v>4</v>
      </c>
      <c r="H11" s="1140">
        <v>5</v>
      </c>
      <c r="I11" s="1141" t="s">
        <v>796</v>
      </c>
      <c r="J11" s="1142">
        <v>7</v>
      </c>
      <c r="K11" s="1143">
        <v>8</v>
      </c>
      <c r="L11" s="1144">
        <v>9</v>
      </c>
      <c r="M11" s="1145" t="s">
        <v>797</v>
      </c>
      <c r="N11" s="1142">
        <v>11</v>
      </c>
      <c r="O11" s="1146">
        <v>12</v>
      </c>
      <c r="P11" s="1147">
        <v>13</v>
      </c>
      <c r="Q11" s="1145" t="s">
        <v>798</v>
      </c>
      <c r="R11" s="1143">
        <v>15</v>
      </c>
      <c r="S11" s="1143">
        <v>16</v>
      </c>
      <c r="T11" s="1144">
        <v>17</v>
      </c>
      <c r="U11" s="1145" t="s">
        <v>799</v>
      </c>
      <c r="V11" s="1148"/>
      <c r="W11" s="1148"/>
      <c r="X11" s="1148"/>
      <c r="Y11" s="1148"/>
      <c r="Z11" s="1148"/>
      <c r="AA11" s="1148"/>
      <c r="AB11" s="1148"/>
      <c r="AC11" s="1148"/>
      <c r="AD11" s="1148"/>
      <c r="AE11" s="1148"/>
      <c r="AF11" s="1148"/>
      <c r="AG11" s="1148"/>
      <c r="AH11" s="1148"/>
      <c r="AI11" s="1148"/>
      <c r="AJ11" s="1148"/>
      <c r="AK11" s="1148"/>
      <c r="AL11" s="1148"/>
      <c r="AM11" s="1148"/>
      <c r="AN11" s="1148"/>
      <c r="AO11" s="1148"/>
      <c r="AP11" s="1148"/>
      <c r="AQ11" s="1148"/>
      <c r="AR11" s="1148"/>
      <c r="AS11" s="1148"/>
      <c r="AT11" s="1148"/>
      <c r="AU11" s="1148"/>
      <c r="AV11" s="1148"/>
      <c r="AW11" s="1148"/>
      <c r="AX11" s="1148"/>
      <c r="AY11" s="1148"/>
      <c r="AZ11" s="1148"/>
      <c r="BA11" s="1148"/>
      <c r="BB11" s="1148"/>
      <c r="BC11" s="1148"/>
      <c r="BD11" s="1148"/>
      <c r="BE11" s="1148"/>
      <c r="BF11" s="1148"/>
      <c r="BG11" s="1148"/>
      <c r="BH11" s="1148"/>
      <c r="BI11" s="1148"/>
      <c r="BJ11" s="1148"/>
      <c r="BK11" s="1148"/>
      <c r="BL11" s="1148"/>
      <c r="BM11" s="1148"/>
      <c r="BN11" s="1148"/>
      <c r="BO11" s="1148"/>
      <c r="BP11" s="1148"/>
      <c r="BQ11" s="1148"/>
      <c r="BR11" s="1148"/>
      <c r="BS11" s="1148"/>
      <c r="BT11" s="1148"/>
      <c r="BU11" s="1148"/>
      <c r="BV11" s="1148"/>
      <c r="BW11" s="1148"/>
      <c r="BX11" s="1148"/>
      <c r="BY11" s="1148"/>
      <c r="BZ11" s="1148"/>
      <c r="CA11" s="1148"/>
      <c r="CB11" s="1148"/>
      <c r="CC11" s="1148"/>
      <c r="CD11" s="1148"/>
      <c r="CE11" s="1148"/>
      <c r="CF11" s="1148"/>
      <c r="CG11" s="1148"/>
      <c r="CH11" s="1148"/>
      <c r="CI11" s="1148"/>
      <c r="CJ11" s="1148"/>
      <c r="CK11" s="1148"/>
      <c r="CL11" s="1148"/>
      <c r="CM11" s="1148"/>
      <c r="CN11" s="1148"/>
      <c r="CO11" s="1148"/>
      <c r="CP11" s="1148"/>
      <c r="CQ11" s="1148"/>
      <c r="CR11" s="1148"/>
      <c r="CS11" s="1148"/>
      <c r="CT11" s="1148"/>
      <c r="CU11" s="1148"/>
      <c r="CV11" s="1148"/>
      <c r="CW11" s="1148"/>
      <c r="CX11" s="1148"/>
      <c r="CY11" s="1148"/>
      <c r="CZ11" s="1148"/>
      <c r="DA11" s="1148"/>
      <c r="DB11" s="1148"/>
      <c r="DC11" s="1148"/>
      <c r="DD11" s="1148"/>
      <c r="DE11" s="1148"/>
      <c r="DF11" s="1148"/>
      <c r="DG11" s="1148"/>
      <c r="DH11" s="1148"/>
      <c r="DI11" s="1148"/>
      <c r="DJ11" s="1148"/>
      <c r="DK11" s="1148"/>
      <c r="DL11" s="1148"/>
      <c r="DM11" s="1148"/>
      <c r="DN11" s="1148"/>
      <c r="DO11" s="1148"/>
      <c r="DP11" s="1148"/>
      <c r="DQ11" s="1148"/>
      <c r="DR11" s="1148"/>
      <c r="DS11" s="1148"/>
      <c r="DT11" s="1148"/>
      <c r="DU11" s="1148"/>
      <c r="DV11" s="1148"/>
      <c r="DW11" s="1148"/>
      <c r="DX11" s="1148"/>
      <c r="DY11" s="1148"/>
      <c r="DZ11" s="1148"/>
      <c r="EA11" s="1148"/>
    </row>
    <row r="12" spans="1:131" s="1149" customFormat="1" ht="35.1" customHeight="1">
      <c r="A12" s="1569" t="s">
        <v>824</v>
      </c>
      <c r="B12" s="1264" t="s">
        <v>52</v>
      </c>
      <c r="C12" s="1594">
        <v>47</v>
      </c>
      <c r="D12" s="1274"/>
      <c r="E12" s="1222">
        <v>0</v>
      </c>
      <c r="F12" s="1222">
        <v>0</v>
      </c>
      <c r="G12" s="1223">
        <v>0</v>
      </c>
      <c r="H12" s="1223">
        <v>0</v>
      </c>
      <c r="I12" s="1224">
        <f>F12+G12+H12</f>
        <v>0</v>
      </c>
      <c r="J12" s="1225">
        <v>0</v>
      </c>
      <c r="K12" s="1226">
        <v>0</v>
      </c>
      <c r="L12" s="1226">
        <v>0</v>
      </c>
      <c r="M12" s="1227">
        <f>J12+K12+L12</f>
        <v>0</v>
      </c>
      <c r="N12" s="1225">
        <v>0</v>
      </c>
      <c r="O12" s="1226">
        <v>0</v>
      </c>
      <c r="P12" s="1226">
        <v>0</v>
      </c>
      <c r="Q12" s="1227">
        <f>N12+O12+P12</f>
        <v>0</v>
      </c>
      <c r="R12" s="1225">
        <f>J12+N12</f>
        <v>0</v>
      </c>
      <c r="S12" s="1226">
        <f t="shared" ref="S12:U19" si="0">K12+O12</f>
        <v>0</v>
      </c>
      <c r="T12" s="1226">
        <f t="shared" si="0"/>
        <v>0</v>
      </c>
      <c r="U12" s="1227">
        <f t="shared" si="0"/>
        <v>0</v>
      </c>
      <c r="V12" s="1148"/>
      <c r="W12" s="1150"/>
      <c r="X12" s="1148"/>
      <c r="Y12" s="1148"/>
      <c r="Z12" s="1148"/>
      <c r="AA12" s="1148"/>
      <c r="AB12" s="1148"/>
      <c r="AC12" s="1148"/>
      <c r="AD12" s="1148"/>
      <c r="AE12" s="1148"/>
      <c r="AF12" s="1148"/>
      <c r="AG12" s="1148"/>
      <c r="AH12" s="1148"/>
      <c r="AI12" s="1148"/>
      <c r="AJ12" s="1148"/>
      <c r="AK12" s="1148"/>
      <c r="AL12" s="1148"/>
      <c r="AM12" s="1148"/>
      <c r="AN12" s="1148"/>
      <c r="AO12" s="1148"/>
      <c r="AP12" s="1148"/>
      <c r="AQ12" s="1148"/>
      <c r="AR12" s="1148"/>
      <c r="AS12" s="1148"/>
      <c r="AT12" s="1148"/>
      <c r="AU12" s="1148"/>
      <c r="AV12" s="1148"/>
      <c r="AW12" s="1148"/>
      <c r="AX12" s="1148"/>
      <c r="AY12" s="1148"/>
      <c r="AZ12" s="1148"/>
      <c r="BA12" s="1148"/>
      <c r="BB12" s="1148"/>
      <c r="BC12" s="1148"/>
      <c r="BD12" s="1148"/>
      <c r="BE12" s="1148"/>
      <c r="BF12" s="1148"/>
      <c r="BG12" s="1148"/>
      <c r="BH12" s="1148"/>
      <c r="BI12" s="1148"/>
      <c r="BJ12" s="1148"/>
      <c r="BK12" s="1148"/>
      <c r="BL12" s="1148"/>
      <c r="BM12" s="1148"/>
      <c r="BN12" s="1148"/>
      <c r="BO12" s="1148"/>
      <c r="BP12" s="1148"/>
      <c r="BQ12" s="1148"/>
      <c r="BR12" s="1148"/>
      <c r="BS12" s="1148"/>
      <c r="BT12" s="1148"/>
      <c r="BU12" s="1148"/>
      <c r="BV12" s="1148"/>
      <c r="BW12" s="1148"/>
      <c r="BX12" s="1148"/>
      <c r="BY12" s="1148"/>
      <c r="BZ12" s="1148"/>
      <c r="CA12" s="1148"/>
      <c r="CB12" s="1148"/>
      <c r="CC12" s="1148"/>
      <c r="CD12" s="1148"/>
      <c r="CE12" s="1148"/>
      <c r="CF12" s="1148"/>
      <c r="CG12" s="1148"/>
      <c r="CH12" s="1148"/>
      <c r="CI12" s="1148"/>
      <c r="CJ12" s="1148"/>
      <c r="CK12" s="1148"/>
      <c r="CL12" s="1148"/>
      <c r="CM12" s="1148"/>
      <c r="CN12" s="1148"/>
      <c r="CO12" s="1148"/>
      <c r="CP12" s="1148"/>
      <c r="CQ12" s="1148"/>
      <c r="CR12" s="1148"/>
      <c r="CS12" s="1148"/>
      <c r="CT12" s="1148"/>
      <c r="CU12" s="1148"/>
      <c r="CV12" s="1148"/>
      <c r="CW12" s="1148"/>
      <c r="CX12" s="1148"/>
      <c r="CY12" s="1148"/>
      <c r="CZ12" s="1148"/>
      <c r="DA12" s="1148"/>
      <c r="DB12" s="1148"/>
      <c r="DC12" s="1148"/>
      <c r="DD12" s="1148"/>
      <c r="DE12" s="1148"/>
      <c r="DF12" s="1148"/>
      <c r="DG12" s="1148"/>
      <c r="DH12" s="1148"/>
      <c r="DI12" s="1148"/>
      <c r="DJ12" s="1148"/>
      <c r="DK12" s="1148"/>
      <c r="DL12" s="1148"/>
      <c r="DM12" s="1148"/>
      <c r="DN12" s="1148"/>
      <c r="DO12" s="1148"/>
      <c r="DP12" s="1148"/>
      <c r="DQ12" s="1148"/>
      <c r="DR12" s="1148"/>
      <c r="DS12" s="1148"/>
      <c r="DT12" s="1148"/>
      <c r="DU12" s="1148"/>
      <c r="DV12" s="1148"/>
      <c r="DW12" s="1148"/>
      <c r="DX12" s="1148"/>
      <c r="DY12" s="1148"/>
      <c r="DZ12" s="1148"/>
      <c r="EA12" s="1148"/>
    </row>
    <row r="13" spans="1:131" s="1149" customFormat="1" ht="35.1" customHeight="1">
      <c r="A13" s="1569"/>
      <c r="B13" s="1228" t="s">
        <v>800</v>
      </c>
      <c r="C13" s="1572"/>
      <c r="D13" s="1275">
        <f>R13/I13/12</f>
        <v>9367.2916666666661</v>
      </c>
      <c r="E13" s="1230">
        <v>0</v>
      </c>
      <c r="F13" s="1230">
        <v>12</v>
      </c>
      <c r="G13" s="1231">
        <v>0</v>
      </c>
      <c r="H13" s="1231">
        <v>1</v>
      </c>
      <c r="I13" s="1232">
        <f t="shared" ref="I13:I15" si="1">F13+G13+H13</f>
        <v>13</v>
      </c>
      <c r="J13" s="1233">
        <f>601190.5+860107</f>
        <v>1461297.5</v>
      </c>
      <c r="K13" s="1234">
        <v>0</v>
      </c>
      <c r="L13" s="1234">
        <v>0</v>
      </c>
      <c r="M13" s="1235">
        <f t="shared" ref="M13:M15" si="2">J13+K13+L13</f>
        <v>1461297.5</v>
      </c>
      <c r="N13" s="1233">
        <v>0</v>
      </c>
      <c r="O13" s="1234">
        <v>0</v>
      </c>
      <c r="P13" s="1234">
        <v>0</v>
      </c>
      <c r="Q13" s="1235">
        <f t="shared" ref="Q13:Q15" si="3">N13+O13+P13</f>
        <v>0</v>
      </c>
      <c r="R13" s="1233">
        <f t="shared" ref="R13:R15" si="4">J13+N13</f>
        <v>1461297.5</v>
      </c>
      <c r="S13" s="1234">
        <f t="shared" si="0"/>
        <v>0</v>
      </c>
      <c r="T13" s="1234">
        <f t="shared" si="0"/>
        <v>0</v>
      </c>
      <c r="U13" s="1235">
        <f t="shared" si="0"/>
        <v>1461297.5</v>
      </c>
      <c r="V13" s="1148"/>
      <c r="W13" s="1150"/>
      <c r="X13" s="1148"/>
      <c r="Y13" s="1148"/>
      <c r="Z13" s="1148"/>
      <c r="AA13" s="1148"/>
      <c r="AB13" s="1148"/>
      <c r="AC13" s="1148"/>
      <c r="AD13" s="1148"/>
      <c r="AE13" s="1148"/>
      <c r="AF13" s="1148"/>
      <c r="AG13" s="1148"/>
      <c r="AH13" s="1148"/>
      <c r="AI13" s="1148"/>
      <c r="AJ13" s="1148"/>
      <c r="AK13" s="1148"/>
      <c r="AL13" s="1148"/>
      <c r="AM13" s="1148"/>
      <c r="AN13" s="1148"/>
      <c r="AO13" s="1148"/>
      <c r="AP13" s="1148"/>
      <c r="AQ13" s="1148"/>
      <c r="AR13" s="1148"/>
      <c r="AS13" s="1148"/>
      <c r="AT13" s="1148"/>
      <c r="AU13" s="1148"/>
      <c r="AV13" s="1148"/>
      <c r="AW13" s="1148"/>
      <c r="AX13" s="1148"/>
      <c r="AY13" s="1148"/>
      <c r="AZ13" s="1148"/>
      <c r="BA13" s="1148"/>
      <c r="BB13" s="1148"/>
      <c r="BC13" s="1148"/>
      <c r="BD13" s="1148"/>
      <c r="BE13" s="1148"/>
      <c r="BF13" s="1148"/>
      <c r="BG13" s="1148"/>
      <c r="BH13" s="1148"/>
      <c r="BI13" s="1148"/>
      <c r="BJ13" s="1148"/>
      <c r="BK13" s="1148"/>
      <c r="BL13" s="1148"/>
      <c r="BM13" s="1148"/>
      <c r="BN13" s="1148"/>
      <c r="BO13" s="1148"/>
      <c r="BP13" s="1148"/>
      <c r="BQ13" s="1148"/>
      <c r="BR13" s="1148"/>
      <c r="BS13" s="1148"/>
      <c r="BT13" s="1148"/>
      <c r="BU13" s="1148"/>
      <c r="BV13" s="1148"/>
      <c r="BW13" s="1148"/>
      <c r="BX13" s="1148"/>
      <c r="BY13" s="1148"/>
      <c r="BZ13" s="1148"/>
      <c r="CA13" s="1148"/>
      <c r="CB13" s="1148"/>
      <c r="CC13" s="1148"/>
      <c r="CD13" s="1148"/>
      <c r="CE13" s="1148"/>
      <c r="CF13" s="1148"/>
      <c r="CG13" s="1148"/>
      <c r="CH13" s="1148"/>
      <c r="CI13" s="1148"/>
      <c r="CJ13" s="1148"/>
      <c r="CK13" s="1148"/>
      <c r="CL13" s="1148"/>
      <c r="CM13" s="1148"/>
      <c r="CN13" s="1148"/>
      <c r="CO13" s="1148"/>
      <c r="CP13" s="1148"/>
      <c r="CQ13" s="1148"/>
      <c r="CR13" s="1148"/>
      <c r="CS13" s="1148"/>
      <c r="CT13" s="1148"/>
      <c r="CU13" s="1148"/>
      <c r="CV13" s="1148"/>
      <c r="CW13" s="1148"/>
      <c r="CX13" s="1148"/>
      <c r="CY13" s="1148"/>
      <c r="CZ13" s="1148"/>
      <c r="DA13" s="1148"/>
      <c r="DB13" s="1148"/>
      <c r="DC13" s="1148"/>
      <c r="DD13" s="1148"/>
      <c r="DE13" s="1148"/>
      <c r="DF13" s="1148"/>
      <c r="DG13" s="1148"/>
      <c r="DH13" s="1148"/>
      <c r="DI13" s="1148"/>
      <c r="DJ13" s="1148"/>
      <c r="DK13" s="1148"/>
      <c r="DL13" s="1148"/>
      <c r="DM13" s="1148"/>
      <c r="DN13" s="1148"/>
      <c r="DO13" s="1148"/>
      <c r="DP13" s="1148"/>
      <c r="DQ13" s="1148"/>
      <c r="DR13" s="1148"/>
      <c r="DS13" s="1148"/>
      <c r="DT13" s="1148"/>
      <c r="DU13" s="1148"/>
      <c r="DV13" s="1148"/>
      <c r="DW13" s="1148"/>
      <c r="DX13" s="1148"/>
      <c r="DY13" s="1148"/>
      <c r="DZ13" s="1148"/>
      <c r="EA13" s="1148"/>
    </row>
    <row r="14" spans="1:131" s="1149" customFormat="1" ht="35.1" customHeight="1">
      <c r="A14" s="1569"/>
      <c r="B14" s="1228" t="s">
        <v>801</v>
      </c>
      <c r="C14" s="1572"/>
      <c r="D14" s="1275"/>
      <c r="E14" s="1230">
        <v>0</v>
      </c>
      <c r="F14" s="1230">
        <v>0</v>
      </c>
      <c r="G14" s="1231">
        <v>0</v>
      </c>
      <c r="H14" s="1231">
        <v>0</v>
      </c>
      <c r="I14" s="1232">
        <f t="shared" si="1"/>
        <v>0</v>
      </c>
      <c r="J14" s="1233">
        <v>0</v>
      </c>
      <c r="K14" s="1234">
        <v>0</v>
      </c>
      <c r="L14" s="1234">
        <v>0</v>
      </c>
      <c r="M14" s="1235">
        <f t="shared" si="2"/>
        <v>0</v>
      </c>
      <c r="N14" s="1233">
        <v>0</v>
      </c>
      <c r="O14" s="1234">
        <v>0</v>
      </c>
      <c r="P14" s="1234">
        <v>46420</v>
      </c>
      <c r="Q14" s="1235">
        <f t="shared" si="3"/>
        <v>46420</v>
      </c>
      <c r="R14" s="1233">
        <f t="shared" si="4"/>
        <v>0</v>
      </c>
      <c r="S14" s="1234">
        <f t="shared" si="0"/>
        <v>0</v>
      </c>
      <c r="T14" s="1234">
        <f t="shared" si="0"/>
        <v>46420</v>
      </c>
      <c r="U14" s="1235">
        <f t="shared" si="0"/>
        <v>46420</v>
      </c>
      <c r="V14" s="1148"/>
      <c r="W14" s="1150"/>
      <c r="X14" s="1148"/>
      <c r="Y14" s="1148"/>
      <c r="Z14" s="1148"/>
      <c r="AA14" s="1148"/>
      <c r="AB14" s="1148"/>
      <c r="AC14" s="1148"/>
      <c r="AD14" s="1148"/>
      <c r="AE14" s="1148"/>
      <c r="AF14" s="1148"/>
      <c r="AG14" s="1148"/>
      <c r="AH14" s="1148"/>
      <c r="AI14" s="1148"/>
      <c r="AJ14" s="1148"/>
      <c r="AK14" s="1148"/>
      <c r="AL14" s="1148"/>
      <c r="AM14" s="1148"/>
      <c r="AN14" s="1148"/>
      <c r="AO14" s="1148"/>
      <c r="AP14" s="1148"/>
      <c r="AQ14" s="1148"/>
      <c r="AR14" s="1148"/>
      <c r="AS14" s="1148"/>
      <c r="AT14" s="1148"/>
      <c r="AU14" s="1148"/>
      <c r="AV14" s="1148"/>
      <c r="AW14" s="1148"/>
      <c r="AX14" s="1148"/>
      <c r="AY14" s="1148"/>
      <c r="AZ14" s="1148"/>
      <c r="BA14" s="1148"/>
      <c r="BB14" s="1148"/>
      <c r="BC14" s="1148"/>
      <c r="BD14" s="1148"/>
      <c r="BE14" s="1148"/>
      <c r="BF14" s="1148"/>
      <c r="BG14" s="1148"/>
      <c r="BH14" s="1148"/>
      <c r="BI14" s="1148"/>
      <c r="BJ14" s="1148"/>
      <c r="BK14" s="1148"/>
      <c r="BL14" s="1148"/>
      <c r="BM14" s="1148"/>
      <c r="BN14" s="1148"/>
      <c r="BO14" s="1148"/>
      <c r="BP14" s="1148"/>
      <c r="BQ14" s="1148"/>
      <c r="BR14" s="1148"/>
      <c r="BS14" s="1148"/>
      <c r="BT14" s="1148"/>
      <c r="BU14" s="1148"/>
      <c r="BV14" s="1148"/>
      <c r="BW14" s="1148"/>
      <c r="BX14" s="1148"/>
      <c r="BY14" s="1148"/>
      <c r="BZ14" s="1148"/>
      <c r="CA14" s="1148"/>
      <c r="CB14" s="1148"/>
      <c r="CC14" s="1148"/>
      <c r="CD14" s="1148"/>
      <c r="CE14" s="1148"/>
      <c r="CF14" s="1148"/>
      <c r="CG14" s="1148"/>
      <c r="CH14" s="1148"/>
      <c r="CI14" s="1148"/>
      <c r="CJ14" s="1148"/>
      <c r="CK14" s="1148"/>
      <c r="CL14" s="1148"/>
      <c r="CM14" s="1148"/>
      <c r="CN14" s="1148"/>
      <c r="CO14" s="1148"/>
      <c r="CP14" s="1148"/>
      <c r="CQ14" s="1148"/>
      <c r="CR14" s="1148"/>
      <c r="CS14" s="1148"/>
      <c r="CT14" s="1148"/>
      <c r="CU14" s="1148"/>
      <c r="CV14" s="1148"/>
      <c r="CW14" s="1148"/>
      <c r="CX14" s="1148"/>
      <c r="CY14" s="1148"/>
      <c r="CZ14" s="1148"/>
      <c r="DA14" s="1148"/>
      <c r="DB14" s="1148"/>
      <c r="DC14" s="1148"/>
      <c r="DD14" s="1148"/>
      <c r="DE14" s="1148"/>
      <c r="DF14" s="1148"/>
      <c r="DG14" s="1148"/>
      <c r="DH14" s="1148"/>
      <c r="DI14" s="1148"/>
      <c r="DJ14" s="1148"/>
      <c r="DK14" s="1148"/>
      <c r="DL14" s="1148"/>
      <c r="DM14" s="1148"/>
      <c r="DN14" s="1148"/>
      <c r="DO14" s="1148"/>
      <c r="DP14" s="1148"/>
      <c r="DQ14" s="1148"/>
      <c r="DR14" s="1148"/>
      <c r="DS14" s="1148"/>
      <c r="DT14" s="1148"/>
      <c r="DU14" s="1148"/>
      <c r="DV14" s="1148"/>
      <c r="DW14" s="1148"/>
      <c r="DX14" s="1148"/>
      <c r="DY14" s="1148"/>
      <c r="DZ14" s="1148"/>
      <c r="EA14" s="1148"/>
    </row>
    <row r="15" spans="1:131" s="1149" customFormat="1" ht="35.1" customHeight="1" thickBot="1">
      <c r="A15" s="1593"/>
      <c r="B15" s="1228" t="s">
        <v>802</v>
      </c>
      <c r="C15" s="1595"/>
      <c r="D15" s="1275"/>
      <c r="E15" s="1230">
        <v>0</v>
      </c>
      <c r="F15" s="1230">
        <f>F12+F13+F14</f>
        <v>12</v>
      </c>
      <c r="G15" s="1231">
        <f t="shared" ref="G15:H15" si="5">G12+G13+G14</f>
        <v>0</v>
      </c>
      <c r="H15" s="1231">
        <f t="shared" si="5"/>
        <v>1</v>
      </c>
      <c r="I15" s="1232">
        <f t="shared" si="1"/>
        <v>13</v>
      </c>
      <c r="J15" s="1233">
        <f>J12+J13+J14</f>
        <v>1461297.5</v>
      </c>
      <c r="K15" s="1234">
        <f t="shared" ref="K15:L15" si="6">K12+K13+K14</f>
        <v>0</v>
      </c>
      <c r="L15" s="1234">
        <f t="shared" si="6"/>
        <v>0</v>
      </c>
      <c r="M15" s="1235">
        <f t="shared" si="2"/>
        <v>1461297.5</v>
      </c>
      <c r="N15" s="1233">
        <f>N12+N13+N14</f>
        <v>0</v>
      </c>
      <c r="O15" s="1234">
        <f t="shared" ref="O15:P15" si="7">O12+O13+O14</f>
        <v>0</v>
      </c>
      <c r="P15" s="1234">
        <f t="shared" si="7"/>
        <v>46420</v>
      </c>
      <c r="Q15" s="1235">
        <f t="shared" si="3"/>
        <v>46420</v>
      </c>
      <c r="R15" s="1233">
        <f t="shared" si="4"/>
        <v>1461297.5</v>
      </c>
      <c r="S15" s="1234">
        <f t="shared" si="0"/>
        <v>0</v>
      </c>
      <c r="T15" s="1234">
        <f t="shared" si="0"/>
        <v>46420</v>
      </c>
      <c r="U15" s="1235">
        <f t="shared" si="0"/>
        <v>1507717.5</v>
      </c>
      <c r="V15" s="1150"/>
      <c r="W15" s="1150"/>
      <c r="X15" s="1148"/>
      <c r="Y15" s="1148"/>
      <c r="Z15" s="1148"/>
      <c r="AA15" s="1148"/>
      <c r="AB15" s="1148"/>
      <c r="AC15" s="1148"/>
      <c r="AD15" s="1148"/>
      <c r="AE15" s="1148"/>
      <c r="AF15" s="1148"/>
      <c r="AG15" s="1148"/>
      <c r="AH15" s="1148"/>
      <c r="AI15" s="1148"/>
      <c r="AJ15" s="1148"/>
      <c r="AK15" s="1148"/>
      <c r="AL15" s="1148"/>
      <c r="AM15" s="1148"/>
      <c r="AN15" s="1148"/>
      <c r="AO15" s="1148"/>
      <c r="AP15" s="1148"/>
      <c r="AQ15" s="1148"/>
      <c r="AR15" s="1148"/>
      <c r="AS15" s="1148"/>
      <c r="AT15" s="1148"/>
      <c r="AU15" s="1148"/>
      <c r="AV15" s="1148"/>
      <c r="AW15" s="1148"/>
      <c r="AX15" s="1148"/>
      <c r="AY15" s="1148"/>
      <c r="AZ15" s="1148"/>
      <c r="BA15" s="1148"/>
      <c r="BB15" s="1148"/>
      <c r="BC15" s="1148"/>
      <c r="BD15" s="1148"/>
      <c r="BE15" s="1148"/>
      <c r="BF15" s="1148"/>
      <c r="BG15" s="1148"/>
      <c r="BH15" s="1148"/>
      <c r="BI15" s="1148"/>
      <c r="BJ15" s="1148"/>
      <c r="BK15" s="1148"/>
      <c r="BL15" s="1148"/>
      <c r="BM15" s="1148"/>
      <c r="BN15" s="1148"/>
      <c r="BO15" s="1148"/>
      <c r="BP15" s="1148"/>
      <c r="BQ15" s="1148"/>
      <c r="BR15" s="1148"/>
      <c r="BS15" s="1148"/>
      <c r="BT15" s="1148"/>
      <c r="BU15" s="1148"/>
      <c r="BV15" s="1148"/>
      <c r="BW15" s="1148"/>
      <c r="BX15" s="1148"/>
      <c r="BY15" s="1148"/>
      <c r="BZ15" s="1148"/>
      <c r="CA15" s="1148"/>
      <c r="CB15" s="1148"/>
      <c r="CC15" s="1148"/>
      <c r="CD15" s="1148"/>
      <c r="CE15" s="1148"/>
      <c r="CF15" s="1148"/>
      <c r="CG15" s="1148"/>
      <c r="CH15" s="1148"/>
      <c r="CI15" s="1148"/>
      <c r="CJ15" s="1148"/>
      <c r="CK15" s="1148"/>
      <c r="CL15" s="1148"/>
      <c r="CM15" s="1148"/>
      <c r="CN15" s="1148"/>
      <c r="CO15" s="1148"/>
      <c r="CP15" s="1148"/>
      <c r="CQ15" s="1148"/>
      <c r="CR15" s="1148"/>
      <c r="CS15" s="1148"/>
      <c r="CT15" s="1148"/>
      <c r="CU15" s="1148"/>
      <c r="CV15" s="1148"/>
      <c r="CW15" s="1148"/>
      <c r="CX15" s="1148"/>
      <c r="CY15" s="1148"/>
      <c r="CZ15" s="1148"/>
      <c r="DA15" s="1148"/>
      <c r="DB15" s="1148"/>
      <c r="DC15" s="1148"/>
      <c r="DD15" s="1148"/>
      <c r="DE15" s="1148"/>
      <c r="DF15" s="1148"/>
      <c r="DG15" s="1148"/>
      <c r="DH15" s="1148"/>
      <c r="DI15" s="1148"/>
      <c r="DJ15" s="1148"/>
      <c r="DK15" s="1148"/>
      <c r="DL15" s="1148"/>
      <c r="DM15" s="1148"/>
      <c r="DN15" s="1148"/>
      <c r="DO15" s="1148"/>
      <c r="DP15" s="1148"/>
      <c r="DQ15" s="1148"/>
      <c r="DR15" s="1148"/>
      <c r="DS15" s="1148"/>
      <c r="DT15" s="1148"/>
      <c r="DU15" s="1148"/>
      <c r="DV15" s="1148"/>
      <c r="DW15" s="1148"/>
      <c r="DX15" s="1148"/>
      <c r="DY15" s="1148"/>
      <c r="DZ15" s="1148"/>
      <c r="EA15" s="1148"/>
    </row>
    <row r="16" spans="1:131" s="1149" customFormat="1" ht="35.1" customHeight="1">
      <c r="A16" s="1569" t="s">
        <v>824</v>
      </c>
      <c r="B16" s="1264" t="s">
        <v>52</v>
      </c>
      <c r="C16" s="1594">
        <v>12002</v>
      </c>
      <c r="D16" s="1274"/>
      <c r="E16" s="1222">
        <v>0</v>
      </c>
      <c r="F16" s="1222">
        <v>0</v>
      </c>
      <c r="G16" s="1223">
        <v>0</v>
      </c>
      <c r="H16" s="1223">
        <v>0</v>
      </c>
      <c r="I16" s="1224">
        <f>F16+G16+H16</f>
        <v>0</v>
      </c>
      <c r="J16" s="1225">
        <v>0</v>
      </c>
      <c r="K16" s="1226">
        <v>0</v>
      </c>
      <c r="L16" s="1226">
        <v>0</v>
      </c>
      <c r="M16" s="1227">
        <f>J16+K16+L16</f>
        <v>0</v>
      </c>
      <c r="N16" s="1225">
        <v>0</v>
      </c>
      <c r="O16" s="1226">
        <v>0</v>
      </c>
      <c r="P16" s="1226">
        <v>0</v>
      </c>
      <c r="Q16" s="1227">
        <f>N16+O16+P16</f>
        <v>0</v>
      </c>
      <c r="R16" s="1225">
        <f>J16+N16</f>
        <v>0</v>
      </c>
      <c r="S16" s="1226">
        <f t="shared" si="0"/>
        <v>0</v>
      </c>
      <c r="T16" s="1226">
        <f t="shared" si="0"/>
        <v>0</v>
      </c>
      <c r="U16" s="1227">
        <f t="shared" si="0"/>
        <v>0</v>
      </c>
      <c r="V16" s="1148"/>
      <c r="W16" s="1150"/>
      <c r="X16" s="1148"/>
      <c r="Y16" s="1148"/>
      <c r="Z16" s="1148"/>
      <c r="AA16" s="1148"/>
      <c r="AB16" s="1148"/>
      <c r="AC16" s="1148"/>
      <c r="AD16" s="1148"/>
      <c r="AE16" s="1148"/>
      <c r="AF16" s="1148"/>
      <c r="AG16" s="1148"/>
      <c r="AH16" s="1148"/>
      <c r="AI16" s="1148"/>
      <c r="AJ16" s="1148"/>
      <c r="AK16" s="1148"/>
      <c r="AL16" s="1148"/>
      <c r="AM16" s="1148"/>
      <c r="AN16" s="1148"/>
      <c r="AO16" s="1148"/>
      <c r="AP16" s="1148"/>
      <c r="AQ16" s="1148"/>
      <c r="AR16" s="1148"/>
      <c r="AS16" s="1148"/>
      <c r="AT16" s="1148"/>
      <c r="AU16" s="1148"/>
      <c r="AV16" s="1148"/>
      <c r="AW16" s="1148"/>
      <c r="AX16" s="1148"/>
      <c r="AY16" s="1148"/>
      <c r="AZ16" s="1148"/>
      <c r="BA16" s="1148"/>
      <c r="BB16" s="1148"/>
      <c r="BC16" s="1148"/>
      <c r="BD16" s="1148"/>
      <c r="BE16" s="1148"/>
      <c r="BF16" s="1148"/>
      <c r="BG16" s="1148"/>
      <c r="BH16" s="1148"/>
      <c r="BI16" s="1148"/>
      <c r="BJ16" s="1148"/>
      <c r="BK16" s="1148"/>
      <c r="BL16" s="1148"/>
      <c r="BM16" s="1148"/>
      <c r="BN16" s="1148"/>
      <c r="BO16" s="1148"/>
      <c r="BP16" s="1148"/>
      <c r="BQ16" s="1148"/>
      <c r="BR16" s="1148"/>
      <c r="BS16" s="1148"/>
      <c r="BT16" s="1148"/>
      <c r="BU16" s="1148"/>
      <c r="BV16" s="1148"/>
      <c r="BW16" s="1148"/>
      <c r="BX16" s="1148"/>
      <c r="BY16" s="1148"/>
      <c r="BZ16" s="1148"/>
      <c r="CA16" s="1148"/>
      <c r="CB16" s="1148"/>
      <c r="CC16" s="1148"/>
      <c r="CD16" s="1148"/>
      <c r="CE16" s="1148"/>
      <c r="CF16" s="1148"/>
      <c r="CG16" s="1148"/>
      <c r="CH16" s="1148"/>
      <c r="CI16" s="1148"/>
      <c r="CJ16" s="1148"/>
      <c r="CK16" s="1148"/>
      <c r="CL16" s="1148"/>
      <c r="CM16" s="1148"/>
      <c r="CN16" s="1148"/>
      <c r="CO16" s="1148"/>
      <c r="CP16" s="1148"/>
      <c r="CQ16" s="1148"/>
      <c r="CR16" s="1148"/>
      <c r="CS16" s="1148"/>
      <c r="CT16" s="1148"/>
      <c r="CU16" s="1148"/>
      <c r="CV16" s="1148"/>
      <c r="CW16" s="1148"/>
      <c r="CX16" s="1148"/>
      <c r="CY16" s="1148"/>
      <c r="CZ16" s="1148"/>
      <c r="DA16" s="1148"/>
      <c r="DB16" s="1148"/>
      <c r="DC16" s="1148"/>
      <c r="DD16" s="1148"/>
      <c r="DE16" s="1148"/>
      <c r="DF16" s="1148"/>
      <c r="DG16" s="1148"/>
      <c r="DH16" s="1148"/>
      <c r="DI16" s="1148"/>
      <c r="DJ16" s="1148"/>
      <c r="DK16" s="1148"/>
      <c r="DL16" s="1148"/>
      <c r="DM16" s="1148"/>
      <c r="DN16" s="1148"/>
      <c r="DO16" s="1148"/>
      <c r="DP16" s="1148"/>
      <c r="DQ16" s="1148"/>
      <c r="DR16" s="1148"/>
      <c r="DS16" s="1148"/>
      <c r="DT16" s="1148"/>
      <c r="DU16" s="1148"/>
      <c r="DV16" s="1148"/>
      <c r="DW16" s="1148"/>
      <c r="DX16" s="1148"/>
      <c r="DY16" s="1148"/>
      <c r="DZ16" s="1148"/>
      <c r="EA16" s="1148"/>
    </row>
    <row r="17" spans="1:131" s="1149" customFormat="1" ht="35.1" customHeight="1">
      <c r="A17" s="1569"/>
      <c r="B17" s="1228" t="s">
        <v>800</v>
      </c>
      <c r="C17" s="1572"/>
      <c r="D17" s="1275">
        <f>R17/I17/12</f>
        <v>23076.923076923078</v>
      </c>
      <c r="E17" s="1230">
        <v>0</v>
      </c>
      <c r="F17" s="1230">
        <v>19.5</v>
      </c>
      <c r="G17" s="1231">
        <v>0</v>
      </c>
      <c r="H17" s="1231">
        <v>0</v>
      </c>
      <c r="I17" s="1232">
        <f t="shared" ref="I17:I19" si="8">F17+G17+H17</f>
        <v>19.5</v>
      </c>
      <c r="J17" s="1233">
        <v>1350000</v>
      </c>
      <c r="K17" s="1234">
        <v>0</v>
      </c>
      <c r="L17" s="1234">
        <v>0</v>
      </c>
      <c r="M17" s="1235">
        <f t="shared" ref="M17:M19" si="9">J17+K17+L17</f>
        <v>1350000</v>
      </c>
      <c r="N17" s="1233">
        <v>4050000</v>
      </c>
      <c r="O17" s="1234">
        <v>0</v>
      </c>
      <c r="P17" s="1234">
        <v>0</v>
      </c>
      <c r="Q17" s="1235">
        <f t="shared" ref="Q17:Q19" si="10">N17+O17+P17</f>
        <v>4050000</v>
      </c>
      <c r="R17" s="1233">
        <f t="shared" ref="R17:R19" si="11">J17+N17</f>
        <v>5400000</v>
      </c>
      <c r="S17" s="1234">
        <f t="shared" si="0"/>
        <v>0</v>
      </c>
      <c r="T17" s="1234">
        <f t="shared" si="0"/>
        <v>0</v>
      </c>
      <c r="U17" s="1235">
        <f t="shared" si="0"/>
        <v>5400000</v>
      </c>
      <c r="V17" s="1148"/>
      <c r="W17" s="1150"/>
      <c r="X17" s="1148"/>
      <c r="Y17" s="1148"/>
      <c r="Z17" s="1148"/>
      <c r="AA17" s="1148"/>
      <c r="AB17" s="1148"/>
      <c r="AC17" s="1148"/>
      <c r="AD17" s="1148"/>
      <c r="AE17" s="1148"/>
      <c r="AF17" s="1148"/>
      <c r="AG17" s="1148"/>
      <c r="AH17" s="1148"/>
      <c r="AI17" s="1148"/>
      <c r="AJ17" s="1148"/>
      <c r="AK17" s="1148"/>
      <c r="AL17" s="1148"/>
      <c r="AM17" s="1148"/>
      <c r="AN17" s="1148"/>
      <c r="AO17" s="1148"/>
      <c r="AP17" s="1148"/>
      <c r="AQ17" s="1148"/>
      <c r="AR17" s="1148"/>
      <c r="AS17" s="1148"/>
      <c r="AT17" s="1148"/>
      <c r="AU17" s="1148"/>
      <c r="AV17" s="1148"/>
      <c r="AW17" s="1148"/>
      <c r="AX17" s="1148"/>
      <c r="AY17" s="1148"/>
      <c r="AZ17" s="1148"/>
      <c r="BA17" s="1148"/>
      <c r="BB17" s="1148"/>
      <c r="BC17" s="1148"/>
      <c r="BD17" s="1148"/>
      <c r="BE17" s="1148"/>
      <c r="BF17" s="1148"/>
      <c r="BG17" s="1148"/>
      <c r="BH17" s="1148"/>
      <c r="BI17" s="1148"/>
      <c r="BJ17" s="1148"/>
      <c r="BK17" s="1148"/>
      <c r="BL17" s="1148"/>
      <c r="BM17" s="1148"/>
      <c r="BN17" s="1148"/>
      <c r="BO17" s="1148"/>
      <c r="BP17" s="1148"/>
      <c r="BQ17" s="1148"/>
      <c r="BR17" s="1148"/>
      <c r="BS17" s="1148"/>
      <c r="BT17" s="1148"/>
      <c r="BU17" s="1148"/>
      <c r="BV17" s="1148"/>
      <c r="BW17" s="1148"/>
      <c r="BX17" s="1148"/>
      <c r="BY17" s="1148"/>
      <c r="BZ17" s="1148"/>
      <c r="CA17" s="1148"/>
      <c r="CB17" s="1148"/>
      <c r="CC17" s="1148"/>
      <c r="CD17" s="1148"/>
      <c r="CE17" s="1148"/>
      <c r="CF17" s="1148"/>
      <c r="CG17" s="1148"/>
      <c r="CH17" s="1148"/>
      <c r="CI17" s="1148"/>
      <c r="CJ17" s="1148"/>
      <c r="CK17" s="1148"/>
      <c r="CL17" s="1148"/>
      <c r="CM17" s="1148"/>
      <c r="CN17" s="1148"/>
      <c r="CO17" s="1148"/>
      <c r="CP17" s="1148"/>
      <c r="CQ17" s="1148"/>
      <c r="CR17" s="1148"/>
      <c r="CS17" s="1148"/>
      <c r="CT17" s="1148"/>
      <c r="CU17" s="1148"/>
      <c r="CV17" s="1148"/>
      <c r="CW17" s="1148"/>
      <c r="CX17" s="1148"/>
      <c r="CY17" s="1148"/>
      <c r="CZ17" s="1148"/>
      <c r="DA17" s="1148"/>
      <c r="DB17" s="1148"/>
      <c r="DC17" s="1148"/>
      <c r="DD17" s="1148"/>
      <c r="DE17" s="1148"/>
      <c r="DF17" s="1148"/>
      <c r="DG17" s="1148"/>
      <c r="DH17" s="1148"/>
      <c r="DI17" s="1148"/>
      <c r="DJ17" s="1148"/>
      <c r="DK17" s="1148"/>
      <c r="DL17" s="1148"/>
      <c r="DM17" s="1148"/>
      <c r="DN17" s="1148"/>
      <c r="DO17" s="1148"/>
      <c r="DP17" s="1148"/>
      <c r="DQ17" s="1148"/>
      <c r="DR17" s="1148"/>
      <c r="DS17" s="1148"/>
      <c r="DT17" s="1148"/>
      <c r="DU17" s="1148"/>
      <c r="DV17" s="1148"/>
      <c r="DW17" s="1148"/>
      <c r="DX17" s="1148"/>
      <c r="DY17" s="1148"/>
      <c r="DZ17" s="1148"/>
      <c r="EA17" s="1148"/>
    </row>
    <row r="18" spans="1:131" s="1149" customFormat="1" ht="35.1" customHeight="1">
      <c r="A18" s="1569"/>
      <c r="B18" s="1228" t="s">
        <v>801</v>
      </c>
      <c r="C18" s="1572"/>
      <c r="D18" s="1275"/>
      <c r="E18" s="1230">
        <v>0</v>
      </c>
      <c r="F18" s="1230">
        <v>0</v>
      </c>
      <c r="G18" s="1231">
        <v>0</v>
      </c>
      <c r="H18" s="1231">
        <v>0</v>
      </c>
      <c r="I18" s="1232">
        <f t="shared" si="8"/>
        <v>0</v>
      </c>
      <c r="J18" s="1233">
        <v>0</v>
      </c>
      <c r="K18" s="1234">
        <v>0</v>
      </c>
      <c r="L18" s="1234">
        <v>32487.5</v>
      </c>
      <c r="M18" s="1235">
        <f t="shared" si="9"/>
        <v>32487.5</v>
      </c>
      <c r="N18" s="1233">
        <v>0</v>
      </c>
      <c r="O18" s="1234">
        <v>0</v>
      </c>
      <c r="P18" s="1234">
        <v>97462.5</v>
      </c>
      <c r="Q18" s="1235">
        <f t="shared" si="10"/>
        <v>97462.5</v>
      </c>
      <c r="R18" s="1233">
        <f t="shared" si="11"/>
        <v>0</v>
      </c>
      <c r="S18" s="1234">
        <f t="shared" si="0"/>
        <v>0</v>
      </c>
      <c r="T18" s="1234">
        <f t="shared" si="0"/>
        <v>129950</v>
      </c>
      <c r="U18" s="1235">
        <f t="shared" si="0"/>
        <v>129950</v>
      </c>
      <c r="V18" s="1148"/>
      <c r="W18" s="1150"/>
      <c r="X18" s="1148"/>
      <c r="Y18" s="1148"/>
      <c r="Z18" s="1148"/>
      <c r="AA18" s="1148"/>
      <c r="AB18" s="1148"/>
      <c r="AC18" s="1148"/>
      <c r="AD18" s="1148"/>
      <c r="AE18" s="1148"/>
      <c r="AF18" s="1148"/>
      <c r="AG18" s="1148"/>
      <c r="AH18" s="1148"/>
      <c r="AI18" s="1148"/>
      <c r="AJ18" s="1148"/>
      <c r="AK18" s="1148"/>
      <c r="AL18" s="1148"/>
      <c r="AM18" s="1148"/>
      <c r="AN18" s="1148"/>
      <c r="AO18" s="1148"/>
      <c r="AP18" s="1148"/>
      <c r="AQ18" s="1148"/>
      <c r="AR18" s="1148"/>
      <c r="AS18" s="1148"/>
      <c r="AT18" s="1148"/>
      <c r="AU18" s="1148"/>
      <c r="AV18" s="1148"/>
      <c r="AW18" s="1148"/>
      <c r="AX18" s="1148"/>
      <c r="AY18" s="1148"/>
      <c r="AZ18" s="1148"/>
      <c r="BA18" s="1148"/>
      <c r="BB18" s="1148"/>
      <c r="BC18" s="1148"/>
      <c r="BD18" s="1148"/>
      <c r="BE18" s="1148"/>
      <c r="BF18" s="1148"/>
      <c r="BG18" s="1148"/>
      <c r="BH18" s="1148"/>
      <c r="BI18" s="1148"/>
      <c r="BJ18" s="1148"/>
      <c r="BK18" s="1148"/>
      <c r="BL18" s="1148"/>
      <c r="BM18" s="1148"/>
      <c r="BN18" s="1148"/>
      <c r="BO18" s="1148"/>
      <c r="BP18" s="1148"/>
      <c r="BQ18" s="1148"/>
      <c r="BR18" s="1148"/>
      <c r="BS18" s="1148"/>
      <c r="BT18" s="1148"/>
      <c r="BU18" s="1148"/>
      <c r="BV18" s="1148"/>
      <c r="BW18" s="1148"/>
      <c r="BX18" s="1148"/>
      <c r="BY18" s="1148"/>
      <c r="BZ18" s="1148"/>
      <c r="CA18" s="1148"/>
      <c r="CB18" s="1148"/>
      <c r="CC18" s="1148"/>
      <c r="CD18" s="1148"/>
      <c r="CE18" s="1148"/>
      <c r="CF18" s="1148"/>
      <c r="CG18" s="1148"/>
      <c r="CH18" s="1148"/>
      <c r="CI18" s="1148"/>
      <c r="CJ18" s="1148"/>
      <c r="CK18" s="1148"/>
      <c r="CL18" s="1148"/>
      <c r="CM18" s="1148"/>
      <c r="CN18" s="1148"/>
      <c r="CO18" s="1148"/>
      <c r="CP18" s="1148"/>
      <c r="CQ18" s="1148"/>
      <c r="CR18" s="1148"/>
      <c r="CS18" s="1148"/>
      <c r="CT18" s="1148"/>
      <c r="CU18" s="1148"/>
      <c r="CV18" s="1148"/>
      <c r="CW18" s="1148"/>
      <c r="CX18" s="1148"/>
      <c r="CY18" s="1148"/>
      <c r="CZ18" s="1148"/>
      <c r="DA18" s="1148"/>
      <c r="DB18" s="1148"/>
      <c r="DC18" s="1148"/>
      <c r="DD18" s="1148"/>
      <c r="DE18" s="1148"/>
      <c r="DF18" s="1148"/>
      <c r="DG18" s="1148"/>
      <c r="DH18" s="1148"/>
      <c r="DI18" s="1148"/>
      <c r="DJ18" s="1148"/>
      <c r="DK18" s="1148"/>
      <c r="DL18" s="1148"/>
      <c r="DM18" s="1148"/>
      <c r="DN18" s="1148"/>
      <c r="DO18" s="1148"/>
      <c r="DP18" s="1148"/>
      <c r="DQ18" s="1148"/>
      <c r="DR18" s="1148"/>
      <c r="DS18" s="1148"/>
      <c r="DT18" s="1148"/>
      <c r="DU18" s="1148"/>
      <c r="DV18" s="1148"/>
      <c r="DW18" s="1148"/>
      <c r="DX18" s="1148"/>
      <c r="DY18" s="1148"/>
      <c r="DZ18" s="1148"/>
      <c r="EA18" s="1148"/>
    </row>
    <row r="19" spans="1:131" s="1149" customFormat="1" ht="35.1" customHeight="1">
      <c r="A19" s="1593"/>
      <c r="B19" s="1228" t="s">
        <v>802</v>
      </c>
      <c r="C19" s="1595"/>
      <c r="D19" s="1275"/>
      <c r="E19" s="1230">
        <v>0</v>
      </c>
      <c r="F19" s="1230">
        <f>F16+F17+F18</f>
        <v>19.5</v>
      </c>
      <c r="G19" s="1231">
        <f t="shared" ref="G19:H19" si="12">G16+G17+G18</f>
        <v>0</v>
      </c>
      <c r="H19" s="1231">
        <f t="shared" si="12"/>
        <v>0</v>
      </c>
      <c r="I19" s="1232">
        <f t="shared" si="8"/>
        <v>19.5</v>
      </c>
      <c r="J19" s="1233">
        <f>J16+J17+J18</f>
        <v>1350000</v>
      </c>
      <c r="K19" s="1234">
        <f t="shared" ref="K19:L19" si="13">K16+K17+K18</f>
        <v>0</v>
      </c>
      <c r="L19" s="1234">
        <f t="shared" si="13"/>
        <v>32487.5</v>
      </c>
      <c r="M19" s="1235">
        <f t="shared" si="9"/>
        <v>1382487.5</v>
      </c>
      <c r="N19" s="1233">
        <f>N16+N17+N18</f>
        <v>4050000</v>
      </c>
      <c r="O19" s="1234">
        <f t="shared" ref="O19:P19" si="14">O16+O17+O18</f>
        <v>0</v>
      </c>
      <c r="P19" s="1234">
        <f t="shared" si="14"/>
        <v>97462.5</v>
      </c>
      <c r="Q19" s="1235">
        <f t="shared" si="10"/>
        <v>4147462.5</v>
      </c>
      <c r="R19" s="1233">
        <f t="shared" si="11"/>
        <v>5400000</v>
      </c>
      <c r="S19" s="1234">
        <f t="shared" si="0"/>
        <v>0</v>
      </c>
      <c r="T19" s="1234">
        <f t="shared" si="0"/>
        <v>129950</v>
      </c>
      <c r="U19" s="1235">
        <f t="shared" si="0"/>
        <v>5529950</v>
      </c>
      <c r="V19" s="1150"/>
      <c r="W19" s="1150"/>
      <c r="X19" s="1148"/>
      <c r="Y19" s="1148"/>
      <c r="Z19" s="1148"/>
      <c r="AA19" s="1148"/>
      <c r="AB19" s="1148"/>
      <c r="AC19" s="1148"/>
      <c r="AD19" s="1148"/>
      <c r="AE19" s="1148"/>
      <c r="AF19" s="1148"/>
      <c r="AG19" s="1148"/>
      <c r="AH19" s="1148"/>
      <c r="AI19" s="1148"/>
      <c r="AJ19" s="1148"/>
      <c r="AK19" s="1148"/>
      <c r="AL19" s="1148"/>
      <c r="AM19" s="1148"/>
      <c r="AN19" s="1148"/>
      <c r="AO19" s="1148"/>
      <c r="AP19" s="1148"/>
      <c r="AQ19" s="1148"/>
      <c r="AR19" s="1148"/>
      <c r="AS19" s="1148"/>
      <c r="AT19" s="1148"/>
      <c r="AU19" s="1148"/>
      <c r="AV19" s="1148"/>
      <c r="AW19" s="1148"/>
      <c r="AX19" s="1148"/>
      <c r="AY19" s="1148"/>
      <c r="AZ19" s="1148"/>
      <c r="BA19" s="1148"/>
      <c r="BB19" s="1148"/>
      <c r="BC19" s="1148"/>
      <c r="BD19" s="1148"/>
      <c r="BE19" s="1148"/>
      <c r="BF19" s="1148"/>
      <c r="BG19" s="1148"/>
      <c r="BH19" s="1148"/>
      <c r="BI19" s="1148"/>
      <c r="BJ19" s="1148"/>
      <c r="BK19" s="1148"/>
      <c r="BL19" s="1148"/>
      <c r="BM19" s="1148"/>
      <c r="BN19" s="1148"/>
      <c r="BO19" s="1148"/>
      <c r="BP19" s="1148"/>
      <c r="BQ19" s="1148"/>
      <c r="BR19" s="1148"/>
      <c r="BS19" s="1148"/>
      <c r="BT19" s="1148"/>
      <c r="BU19" s="1148"/>
      <c r="BV19" s="1148"/>
      <c r="BW19" s="1148"/>
      <c r="BX19" s="1148"/>
      <c r="BY19" s="1148"/>
      <c r="BZ19" s="1148"/>
      <c r="CA19" s="1148"/>
      <c r="CB19" s="1148"/>
      <c r="CC19" s="1148"/>
      <c r="CD19" s="1148"/>
      <c r="CE19" s="1148"/>
      <c r="CF19" s="1148"/>
      <c r="CG19" s="1148"/>
      <c r="CH19" s="1148"/>
      <c r="CI19" s="1148"/>
      <c r="CJ19" s="1148"/>
      <c r="CK19" s="1148"/>
      <c r="CL19" s="1148"/>
      <c r="CM19" s="1148"/>
      <c r="CN19" s="1148"/>
      <c r="CO19" s="1148"/>
      <c r="CP19" s="1148"/>
      <c r="CQ19" s="1148"/>
      <c r="CR19" s="1148"/>
      <c r="CS19" s="1148"/>
      <c r="CT19" s="1148"/>
      <c r="CU19" s="1148"/>
      <c r="CV19" s="1148"/>
      <c r="CW19" s="1148"/>
      <c r="CX19" s="1148"/>
      <c r="CY19" s="1148"/>
      <c r="CZ19" s="1148"/>
      <c r="DA19" s="1148"/>
      <c r="DB19" s="1148"/>
      <c r="DC19" s="1148"/>
      <c r="DD19" s="1148"/>
      <c r="DE19" s="1148"/>
      <c r="DF19" s="1148"/>
      <c r="DG19" s="1148"/>
      <c r="DH19" s="1148"/>
      <c r="DI19" s="1148"/>
      <c r="DJ19" s="1148"/>
      <c r="DK19" s="1148"/>
      <c r="DL19" s="1148"/>
      <c r="DM19" s="1148"/>
      <c r="DN19" s="1148"/>
      <c r="DO19" s="1148"/>
      <c r="DP19" s="1148"/>
      <c r="DQ19" s="1148"/>
      <c r="DR19" s="1148"/>
      <c r="DS19" s="1148"/>
      <c r="DT19" s="1148"/>
      <c r="DU19" s="1148"/>
      <c r="DV19" s="1148"/>
      <c r="DW19" s="1148"/>
      <c r="DX19" s="1148"/>
      <c r="DY19" s="1148"/>
      <c r="DZ19" s="1148"/>
      <c r="EA19" s="1148"/>
    </row>
    <row r="20" spans="1:131" s="1149" customFormat="1" ht="35.1" customHeight="1">
      <c r="A20" s="1592" t="s">
        <v>803</v>
      </c>
      <c r="B20" s="1265" t="s">
        <v>52</v>
      </c>
      <c r="C20" s="1266"/>
      <c r="D20" s="1276"/>
      <c r="E20" s="1268">
        <v>0</v>
      </c>
      <c r="F20" s="1268">
        <f>F12+F16</f>
        <v>0</v>
      </c>
      <c r="G20" s="1269">
        <f t="shared" ref="G20:I20" si="15">G12+G16</f>
        <v>0</v>
      </c>
      <c r="H20" s="1269">
        <f t="shared" si="15"/>
        <v>0</v>
      </c>
      <c r="I20" s="1270">
        <f t="shared" si="15"/>
        <v>0</v>
      </c>
      <c r="J20" s="1271">
        <f>J12+J16</f>
        <v>0</v>
      </c>
      <c r="K20" s="1272">
        <f t="shared" ref="K20:U23" si="16">K12+K16</f>
        <v>0</v>
      </c>
      <c r="L20" s="1272">
        <f t="shared" si="16"/>
        <v>0</v>
      </c>
      <c r="M20" s="1273">
        <f t="shared" si="16"/>
        <v>0</v>
      </c>
      <c r="N20" s="1271">
        <f t="shared" si="16"/>
        <v>0</v>
      </c>
      <c r="O20" s="1272">
        <f t="shared" si="16"/>
        <v>0</v>
      </c>
      <c r="P20" s="1272">
        <f t="shared" si="16"/>
        <v>0</v>
      </c>
      <c r="Q20" s="1273">
        <f t="shared" si="16"/>
        <v>0</v>
      </c>
      <c r="R20" s="1271">
        <f t="shared" si="16"/>
        <v>0</v>
      </c>
      <c r="S20" s="1272">
        <f t="shared" si="16"/>
        <v>0</v>
      </c>
      <c r="T20" s="1272">
        <f t="shared" si="16"/>
        <v>0</v>
      </c>
      <c r="U20" s="1273">
        <f t="shared" si="16"/>
        <v>0</v>
      </c>
      <c r="V20" s="1148"/>
      <c r="W20" s="1148"/>
      <c r="X20" s="1148"/>
      <c r="Y20" s="1148"/>
      <c r="Z20" s="1148"/>
      <c r="AA20" s="1148"/>
      <c r="AB20" s="1148"/>
      <c r="AC20" s="1148"/>
      <c r="AD20" s="1148"/>
      <c r="AE20" s="1148"/>
      <c r="AF20" s="1148"/>
      <c r="AG20" s="1148"/>
      <c r="AH20" s="1148"/>
      <c r="AI20" s="1148"/>
      <c r="AJ20" s="1148"/>
      <c r="AK20" s="1148"/>
      <c r="AL20" s="1148"/>
      <c r="AM20" s="1148"/>
      <c r="AN20" s="1148"/>
      <c r="AO20" s="1148"/>
      <c r="AP20" s="1148"/>
      <c r="AQ20" s="1148"/>
      <c r="AR20" s="1148"/>
      <c r="AS20" s="1148"/>
      <c r="AT20" s="1148"/>
      <c r="AU20" s="1148"/>
      <c r="AV20" s="1148"/>
      <c r="AW20" s="1148"/>
      <c r="AX20" s="1148"/>
      <c r="AY20" s="1148"/>
      <c r="AZ20" s="1148"/>
      <c r="BA20" s="1148"/>
      <c r="BB20" s="1148"/>
      <c r="BC20" s="1148"/>
      <c r="BD20" s="1148"/>
      <c r="BE20" s="1148"/>
      <c r="BF20" s="1148"/>
      <c r="BG20" s="1148"/>
      <c r="BH20" s="1148"/>
      <c r="BI20" s="1148"/>
      <c r="BJ20" s="1148"/>
      <c r="BK20" s="1148"/>
      <c r="BL20" s="1148"/>
      <c r="BM20" s="1148"/>
      <c r="BN20" s="1148"/>
      <c r="BO20" s="1148"/>
      <c r="BP20" s="1148"/>
      <c r="BQ20" s="1148"/>
      <c r="BR20" s="1148"/>
      <c r="BS20" s="1148"/>
      <c r="BT20" s="1148"/>
      <c r="BU20" s="1148"/>
      <c r="BV20" s="1148"/>
      <c r="BW20" s="1148"/>
      <c r="BX20" s="1148"/>
      <c r="BY20" s="1148"/>
      <c r="BZ20" s="1148"/>
      <c r="CA20" s="1148"/>
      <c r="CB20" s="1148"/>
      <c r="CC20" s="1148"/>
      <c r="CD20" s="1148"/>
      <c r="CE20" s="1148"/>
      <c r="CF20" s="1148"/>
      <c r="CG20" s="1148"/>
      <c r="CH20" s="1148"/>
      <c r="CI20" s="1148"/>
      <c r="CJ20" s="1148"/>
      <c r="CK20" s="1148"/>
      <c r="CL20" s="1148"/>
      <c r="CM20" s="1148"/>
      <c r="CN20" s="1148"/>
      <c r="CO20" s="1148"/>
      <c r="CP20" s="1148"/>
      <c r="CQ20" s="1148"/>
      <c r="CR20" s="1148"/>
      <c r="CS20" s="1148"/>
      <c r="CT20" s="1148"/>
      <c r="CU20" s="1148"/>
      <c r="CV20" s="1148"/>
      <c r="CW20" s="1148"/>
      <c r="CX20" s="1148"/>
      <c r="CY20" s="1148"/>
      <c r="CZ20" s="1148"/>
      <c r="DA20" s="1148"/>
      <c r="DB20" s="1148"/>
      <c r="DC20" s="1148"/>
      <c r="DD20" s="1148"/>
      <c r="DE20" s="1148"/>
      <c r="DF20" s="1148"/>
      <c r="DG20" s="1148"/>
      <c r="DH20" s="1148"/>
      <c r="DI20" s="1148"/>
      <c r="DJ20" s="1148"/>
      <c r="DK20" s="1148"/>
      <c r="DL20" s="1148"/>
      <c r="DM20" s="1148"/>
      <c r="DN20" s="1148"/>
      <c r="DO20" s="1148"/>
      <c r="DP20" s="1148"/>
      <c r="DQ20" s="1148"/>
      <c r="DR20" s="1148"/>
      <c r="DS20" s="1148"/>
      <c r="DT20" s="1148"/>
      <c r="DU20" s="1148"/>
      <c r="DV20" s="1148"/>
      <c r="DW20" s="1148"/>
      <c r="DX20" s="1148"/>
      <c r="DY20" s="1148"/>
      <c r="DZ20" s="1148"/>
      <c r="EA20" s="1148"/>
    </row>
    <row r="21" spans="1:131" s="1149" customFormat="1" ht="35.1" customHeight="1">
      <c r="A21" s="1574"/>
      <c r="B21" s="1244" t="s">
        <v>800</v>
      </c>
      <c r="C21" s="1245"/>
      <c r="D21" s="1275"/>
      <c r="E21" s="1230">
        <v>0</v>
      </c>
      <c r="F21" s="1230">
        <f t="shared" ref="F21:J23" si="17">F13+F17</f>
        <v>31.5</v>
      </c>
      <c r="G21" s="1231">
        <f t="shared" si="17"/>
        <v>0</v>
      </c>
      <c r="H21" s="1231">
        <f t="shared" si="17"/>
        <v>1</v>
      </c>
      <c r="I21" s="1232">
        <f t="shared" si="17"/>
        <v>32.5</v>
      </c>
      <c r="J21" s="1233">
        <f t="shared" si="17"/>
        <v>2811297.5</v>
      </c>
      <c r="K21" s="1234">
        <f t="shared" si="16"/>
        <v>0</v>
      </c>
      <c r="L21" s="1234">
        <f t="shared" si="16"/>
        <v>0</v>
      </c>
      <c r="M21" s="1235">
        <f t="shared" si="16"/>
        <v>2811297.5</v>
      </c>
      <c r="N21" s="1233">
        <f t="shared" si="16"/>
        <v>4050000</v>
      </c>
      <c r="O21" s="1234">
        <f t="shared" si="16"/>
        <v>0</v>
      </c>
      <c r="P21" s="1234">
        <f t="shared" si="16"/>
        <v>0</v>
      </c>
      <c r="Q21" s="1235">
        <f t="shared" si="16"/>
        <v>4050000</v>
      </c>
      <c r="R21" s="1233">
        <f t="shared" si="16"/>
        <v>6861297.5</v>
      </c>
      <c r="S21" s="1234">
        <f t="shared" si="16"/>
        <v>0</v>
      </c>
      <c r="T21" s="1234">
        <f t="shared" si="16"/>
        <v>0</v>
      </c>
      <c r="U21" s="1235">
        <f t="shared" si="16"/>
        <v>6861297.5</v>
      </c>
      <c r="V21" s="1148"/>
      <c r="W21" s="1148"/>
      <c r="X21" s="1148"/>
      <c r="Y21" s="1148"/>
      <c r="Z21" s="1148"/>
      <c r="AA21" s="1148"/>
      <c r="AB21" s="1148"/>
      <c r="AC21" s="1148"/>
      <c r="AD21" s="1148"/>
      <c r="AE21" s="1148"/>
      <c r="AF21" s="1148"/>
      <c r="AG21" s="1148"/>
      <c r="AH21" s="1148"/>
      <c r="AI21" s="1148"/>
      <c r="AJ21" s="1148"/>
      <c r="AK21" s="1148"/>
      <c r="AL21" s="1148"/>
      <c r="AM21" s="1148"/>
      <c r="AN21" s="1148"/>
      <c r="AO21" s="1148"/>
      <c r="AP21" s="1148"/>
      <c r="AQ21" s="1148"/>
      <c r="AR21" s="1148"/>
      <c r="AS21" s="1148"/>
      <c r="AT21" s="1148"/>
      <c r="AU21" s="1148"/>
      <c r="AV21" s="1148"/>
      <c r="AW21" s="1148"/>
      <c r="AX21" s="1148"/>
      <c r="AY21" s="1148"/>
      <c r="AZ21" s="1148"/>
      <c r="BA21" s="1148"/>
      <c r="BB21" s="1148"/>
      <c r="BC21" s="1148"/>
      <c r="BD21" s="1148"/>
      <c r="BE21" s="1148"/>
      <c r="BF21" s="1148"/>
      <c r="BG21" s="1148"/>
      <c r="BH21" s="1148"/>
      <c r="BI21" s="1148"/>
      <c r="BJ21" s="1148"/>
      <c r="BK21" s="1148"/>
      <c r="BL21" s="1148"/>
      <c r="BM21" s="1148"/>
      <c r="BN21" s="1148"/>
      <c r="BO21" s="1148"/>
      <c r="BP21" s="1148"/>
      <c r="BQ21" s="1148"/>
      <c r="BR21" s="1148"/>
      <c r="BS21" s="1148"/>
      <c r="BT21" s="1148"/>
      <c r="BU21" s="1148"/>
      <c r="BV21" s="1148"/>
      <c r="BW21" s="1148"/>
      <c r="BX21" s="1148"/>
      <c r="BY21" s="1148"/>
      <c r="BZ21" s="1148"/>
      <c r="CA21" s="1148"/>
      <c r="CB21" s="1148"/>
      <c r="CC21" s="1148"/>
      <c r="CD21" s="1148"/>
      <c r="CE21" s="1148"/>
      <c r="CF21" s="1148"/>
      <c r="CG21" s="1148"/>
      <c r="CH21" s="1148"/>
      <c r="CI21" s="1148"/>
      <c r="CJ21" s="1148"/>
      <c r="CK21" s="1148"/>
      <c r="CL21" s="1148"/>
      <c r="CM21" s="1148"/>
      <c r="CN21" s="1148"/>
      <c r="CO21" s="1148"/>
      <c r="CP21" s="1148"/>
      <c r="CQ21" s="1148"/>
      <c r="CR21" s="1148"/>
      <c r="CS21" s="1148"/>
      <c r="CT21" s="1148"/>
      <c r="CU21" s="1148"/>
      <c r="CV21" s="1148"/>
      <c r="CW21" s="1148"/>
      <c r="CX21" s="1148"/>
      <c r="CY21" s="1148"/>
      <c r="CZ21" s="1148"/>
      <c r="DA21" s="1148"/>
      <c r="DB21" s="1148"/>
      <c r="DC21" s="1148"/>
      <c r="DD21" s="1148"/>
      <c r="DE21" s="1148"/>
      <c r="DF21" s="1148"/>
      <c r="DG21" s="1148"/>
      <c r="DH21" s="1148"/>
      <c r="DI21" s="1148"/>
      <c r="DJ21" s="1148"/>
      <c r="DK21" s="1148"/>
      <c r="DL21" s="1148"/>
      <c r="DM21" s="1148"/>
      <c r="DN21" s="1148"/>
      <c r="DO21" s="1148"/>
      <c r="DP21" s="1148"/>
      <c r="DQ21" s="1148"/>
      <c r="DR21" s="1148"/>
      <c r="DS21" s="1148"/>
      <c r="DT21" s="1148"/>
      <c r="DU21" s="1148"/>
      <c r="DV21" s="1148"/>
      <c r="DW21" s="1148"/>
      <c r="DX21" s="1148"/>
      <c r="DY21" s="1148"/>
      <c r="DZ21" s="1148"/>
      <c r="EA21" s="1148"/>
    </row>
    <row r="22" spans="1:131" s="1149" customFormat="1" ht="35.1" customHeight="1">
      <c r="A22" s="1574"/>
      <c r="B22" s="1244" t="s">
        <v>804</v>
      </c>
      <c r="C22" s="1245"/>
      <c r="D22" s="1275"/>
      <c r="E22" s="1230">
        <v>0</v>
      </c>
      <c r="F22" s="1230">
        <f t="shared" si="17"/>
        <v>0</v>
      </c>
      <c r="G22" s="1231">
        <f t="shared" si="17"/>
        <v>0</v>
      </c>
      <c r="H22" s="1231">
        <f t="shared" si="17"/>
        <v>0</v>
      </c>
      <c r="I22" s="1232">
        <f t="shared" si="17"/>
        <v>0</v>
      </c>
      <c r="J22" s="1233">
        <f t="shared" si="17"/>
        <v>0</v>
      </c>
      <c r="K22" s="1234">
        <f t="shared" si="16"/>
        <v>0</v>
      </c>
      <c r="L22" s="1234">
        <f t="shared" si="16"/>
        <v>32487.5</v>
      </c>
      <c r="M22" s="1235">
        <f t="shared" si="16"/>
        <v>32487.5</v>
      </c>
      <c r="N22" s="1233">
        <f t="shared" si="16"/>
        <v>0</v>
      </c>
      <c r="O22" s="1234">
        <f t="shared" si="16"/>
        <v>0</v>
      </c>
      <c r="P22" s="1234">
        <f t="shared" si="16"/>
        <v>143882.5</v>
      </c>
      <c r="Q22" s="1235">
        <f t="shared" si="16"/>
        <v>143882.5</v>
      </c>
      <c r="R22" s="1233">
        <f t="shared" si="16"/>
        <v>0</v>
      </c>
      <c r="S22" s="1234">
        <f t="shared" si="16"/>
        <v>0</v>
      </c>
      <c r="T22" s="1234">
        <f t="shared" si="16"/>
        <v>176370</v>
      </c>
      <c r="U22" s="1235">
        <f t="shared" si="16"/>
        <v>176370</v>
      </c>
      <c r="V22" s="1148"/>
      <c r="W22" s="1148"/>
      <c r="X22" s="1148"/>
      <c r="Y22" s="1148"/>
      <c r="Z22" s="1148"/>
      <c r="AA22" s="1148"/>
      <c r="AB22" s="1148"/>
      <c r="AC22" s="1148"/>
      <c r="AD22" s="1148"/>
      <c r="AE22" s="1148"/>
      <c r="AF22" s="1148"/>
      <c r="AG22" s="1148"/>
      <c r="AH22" s="1148"/>
      <c r="AI22" s="1148"/>
      <c r="AJ22" s="1148"/>
      <c r="AK22" s="1148"/>
      <c r="AL22" s="1148"/>
      <c r="AM22" s="1148"/>
      <c r="AN22" s="1148"/>
      <c r="AO22" s="1148"/>
      <c r="AP22" s="1148"/>
      <c r="AQ22" s="1148"/>
      <c r="AR22" s="1148"/>
      <c r="AS22" s="1148"/>
      <c r="AT22" s="1148"/>
      <c r="AU22" s="1148"/>
      <c r="AV22" s="1148"/>
      <c r="AW22" s="1148"/>
      <c r="AX22" s="1148"/>
      <c r="AY22" s="1148"/>
      <c r="AZ22" s="1148"/>
      <c r="BA22" s="1148"/>
      <c r="BB22" s="1148"/>
      <c r="BC22" s="1148"/>
      <c r="BD22" s="1148"/>
      <c r="BE22" s="1148"/>
      <c r="BF22" s="1148"/>
      <c r="BG22" s="1148"/>
      <c r="BH22" s="1148"/>
      <c r="BI22" s="1148"/>
      <c r="BJ22" s="1148"/>
      <c r="BK22" s="1148"/>
      <c r="BL22" s="1148"/>
      <c r="BM22" s="1148"/>
      <c r="BN22" s="1148"/>
      <c r="BO22" s="1148"/>
      <c r="BP22" s="1148"/>
      <c r="BQ22" s="1148"/>
      <c r="BR22" s="1148"/>
      <c r="BS22" s="1148"/>
      <c r="BT22" s="1148"/>
      <c r="BU22" s="1148"/>
      <c r="BV22" s="1148"/>
      <c r="BW22" s="1148"/>
      <c r="BX22" s="1148"/>
      <c r="BY22" s="1148"/>
      <c r="BZ22" s="1148"/>
      <c r="CA22" s="1148"/>
      <c r="CB22" s="1148"/>
      <c r="CC22" s="1148"/>
      <c r="CD22" s="1148"/>
      <c r="CE22" s="1148"/>
      <c r="CF22" s="1148"/>
      <c r="CG22" s="1148"/>
      <c r="CH22" s="1148"/>
      <c r="CI22" s="1148"/>
      <c r="CJ22" s="1148"/>
      <c r="CK22" s="1148"/>
      <c r="CL22" s="1148"/>
      <c r="CM22" s="1148"/>
      <c r="CN22" s="1148"/>
      <c r="CO22" s="1148"/>
      <c r="CP22" s="1148"/>
      <c r="CQ22" s="1148"/>
      <c r="CR22" s="1148"/>
      <c r="CS22" s="1148"/>
      <c r="CT22" s="1148"/>
      <c r="CU22" s="1148"/>
      <c r="CV22" s="1148"/>
      <c r="CW22" s="1148"/>
      <c r="CX22" s="1148"/>
      <c r="CY22" s="1148"/>
      <c r="CZ22" s="1148"/>
      <c r="DA22" s="1148"/>
      <c r="DB22" s="1148"/>
      <c r="DC22" s="1148"/>
      <c r="DD22" s="1148"/>
      <c r="DE22" s="1148"/>
      <c r="DF22" s="1148"/>
      <c r="DG22" s="1148"/>
      <c r="DH22" s="1148"/>
      <c r="DI22" s="1148"/>
      <c r="DJ22" s="1148"/>
      <c r="DK22" s="1148"/>
      <c r="DL22" s="1148"/>
      <c r="DM22" s="1148"/>
      <c r="DN22" s="1148"/>
      <c r="DO22" s="1148"/>
      <c r="DP22" s="1148"/>
      <c r="DQ22" s="1148"/>
      <c r="DR22" s="1148"/>
      <c r="DS22" s="1148"/>
      <c r="DT22" s="1148"/>
      <c r="DU22" s="1148"/>
      <c r="DV22" s="1148"/>
      <c r="DW22" s="1148"/>
      <c r="DX22" s="1148"/>
      <c r="DY22" s="1148"/>
      <c r="DZ22" s="1148"/>
      <c r="EA22" s="1148"/>
    </row>
    <row r="23" spans="1:131" s="1149" customFormat="1" ht="35.1" customHeight="1" thickBot="1">
      <c r="A23" s="1575"/>
      <c r="B23" s="1151" t="s">
        <v>802</v>
      </c>
      <c r="C23" s="1246"/>
      <c r="D23" s="1277">
        <f>R23/I23/12</f>
        <v>17593.070512820512</v>
      </c>
      <c r="E23" s="1248">
        <v>0</v>
      </c>
      <c r="F23" s="1248">
        <f t="shared" si="17"/>
        <v>31.5</v>
      </c>
      <c r="G23" s="1249">
        <f t="shared" si="17"/>
        <v>0</v>
      </c>
      <c r="H23" s="1249">
        <f t="shared" si="17"/>
        <v>1</v>
      </c>
      <c r="I23" s="1250">
        <f t="shared" si="17"/>
        <v>32.5</v>
      </c>
      <c r="J23" s="1251">
        <f t="shared" si="17"/>
        <v>2811297.5</v>
      </c>
      <c r="K23" s="1252">
        <f t="shared" si="16"/>
        <v>0</v>
      </c>
      <c r="L23" s="1252">
        <f t="shared" si="16"/>
        <v>32487.5</v>
      </c>
      <c r="M23" s="1253">
        <f t="shared" si="16"/>
        <v>2843785</v>
      </c>
      <c r="N23" s="1251">
        <f t="shared" si="16"/>
        <v>4050000</v>
      </c>
      <c r="O23" s="1252">
        <f t="shared" si="16"/>
        <v>0</v>
      </c>
      <c r="P23" s="1252">
        <f t="shared" si="16"/>
        <v>143882.5</v>
      </c>
      <c r="Q23" s="1253">
        <f t="shared" si="16"/>
        <v>4193882.5</v>
      </c>
      <c r="R23" s="1251">
        <f t="shared" si="16"/>
        <v>6861297.5</v>
      </c>
      <c r="S23" s="1252">
        <f t="shared" si="16"/>
        <v>0</v>
      </c>
      <c r="T23" s="1252">
        <f t="shared" si="16"/>
        <v>176370</v>
      </c>
      <c r="U23" s="1253">
        <f t="shared" si="16"/>
        <v>7037667.5</v>
      </c>
      <c r="V23" s="1148"/>
      <c r="W23" s="1148"/>
      <c r="X23" s="1148"/>
      <c r="Y23" s="1148"/>
      <c r="Z23" s="1148"/>
      <c r="AA23" s="1148"/>
      <c r="AB23" s="1148"/>
      <c r="AC23" s="1148"/>
      <c r="AD23" s="1148"/>
      <c r="AE23" s="1148"/>
      <c r="AF23" s="1148"/>
      <c r="AG23" s="1148"/>
      <c r="AH23" s="1148"/>
      <c r="AI23" s="1148"/>
      <c r="AJ23" s="1148"/>
      <c r="AK23" s="1148"/>
      <c r="AL23" s="1148"/>
      <c r="AM23" s="1148"/>
      <c r="AN23" s="1148"/>
      <c r="AO23" s="1148"/>
      <c r="AP23" s="1148"/>
      <c r="AQ23" s="1148"/>
      <c r="AR23" s="1148"/>
      <c r="AS23" s="1148"/>
      <c r="AT23" s="1148"/>
      <c r="AU23" s="1148"/>
      <c r="AV23" s="1148"/>
      <c r="AW23" s="1148"/>
      <c r="AX23" s="1148"/>
      <c r="AY23" s="1148"/>
      <c r="AZ23" s="1148"/>
      <c r="BA23" s="1148"/>
      <c r="BB23" s="1148"/>
      <c r="BC23" s="1148"/>
      <c r="BD23" s="1148"/>
      <c r="BE23" s="1148"/>
      <c r="BF23" s="1148"/>
      <c r="BG23" s="1148"/>
      <c r="BH23" s="1148"/>
      <c r="BI23" s="1148"/>
      <c r="BJ23" s="1148"/>
      <c r="BK23" s="1148"/>
      <c r="BL23" s="1148"/>
      <c r="BM23" s="1148"/>
      <c r="BN23" s="1148"/>
      <c r="BO23" s="1148"/>
      <c r="BP23" s="1148"/>
      <c r="BQ23" s="1148"/>
      <c r="BR23" s="1148"/>
      <c r="BS23" s="1148"/>
      <c r="BT23" s="1148"/>
      <c r="BU23" s="1148"/>
      <c r="BV23" s="1148"/>
      <c r="BW23" s="1148"/>
      <c r="BX23" s="1148"/>
      <c r="BY23" s="1148"/>
      <c r="BZ23" s="1148"/>
      <c r="CA23" s="1148"/>
      <c r="CB23" s="1148"/>
      <c r="CC23" s="1148"/>
      <c r="CD23" s="1148"/>
      <c r="CE23" s="1148"/>
      <c r="CF23" s="1148"/>
      <c r="CG23" s="1148"/>
      <c r="CH23" s="1148"/>
      <c r="CI23" s="1148"/>
      <c r="CJ23" s="1148"/>
      <c r="CK23" s="1148"/>
      <c r="CL23" s="1148"/>
      <c r="CM23" s="1148"/>
      <c r="CN23" s="1148"/>
      <c r="CO23" s="1148"/>
      <c r="CP23" s="1148"/>
      <c r="CQ23" s="1148"/>
      <c r="CR23" s="1148"/>
      <c r="CS23" s="1148"/>
      <c r="CT23" s="1148"/>
      <c r="CU23" s="1148"/>
      <c r="CV23" s="1148"/>
      <c r="CW23" s="1148"/>
      <c r="CX23" s="1148"/>
      <c r="CY23" s="1148"/>
      <c r="CZ23" s="1148"/>
      <c r="DA23" s="1148"/>
      <c r="DB23" s="1148"/>
      <c r="DC23" s="1148"/>
      <c r="DD23" s="1148"/>
      <c r="DE23" s="1148"/>
      <c r="DF23" s="1148"/>
      <c r="DG23" s="1148"/>
      <c r="DH23" s="1148"/>
      <c r="DI23" s="1148"/>
      <c r="DJ23" s="1148"/>
      <c r="DK23" s="1148"/>
      <c r="DL23" s="1148"/>
      <c r="DM23" s="1148"/>
      <c r="DN23" s="1148"/>
      <c r="DO23" s="1148"/>
      <c r="DP23" s="1148"/>
      <c r="DQ23" s="1148"/>
      <c r="DR23" s="1148"/>
      <c r="DS23" s="1148"/>
      <c r="DT23" s="1148"/>
      <c r="DU23" s="1148"/>
      <c r="DV23" s="1148"/>
      <c r="DW23" s="1148"/>
      <c r="DX23" s="1148"/>
      <c r="DY23" s="1148"/>
      <c r="DZ23" s="1148"/>
      <c r="EA23" s="1148"/>
    </row>
    <row r="24" spans="1:131" s="1149" customFormat="1" ht="19.5" customHeight="1">
      <c r="A24" s="1152"/>
      <c r="B24" s="1153"/>
      <c r="C24" s="1153"/>
      <c r="D24" s="1153"/>
      <c r="E24" s="1153"/>
      <c r="F24" s="1154"/>
      <c r="G24" s="1154"/>
      <c r="H24" s="1154"/>
      <c r="I24" s="1154"/>
      <c r="J24" s="1154"/>
      <c r="K24" s="1154"/>
      <c r="L24" s="1153"/>
      <c r="M24" s="1153"/>
      <c r="N24" s="1154"/>
      <c r="O24" s="1154"/>
      <c r="P24" s="1155"/>
      <c r="Q24" s="1153"/>
      <c r="R24" s="1154"/>
      <c r="S24" s="1154"/>
      <c r="T24" s="1153"/>
      <c r="U24" s="1156"/>
      <c r="V24" s="1148"/>
      <c r="W24" s="1148"/>
      <c r="X24" s="1148"/>
      <c r="Y24" s="1148"/>
      <c r="Z24" s="1148"/>
      <c r="AA24" s="1148"/>
      <c r="AB24" s="1148"/>
      <c r="AC24" s="1148"/>
      <c r="AD24" s="1148"/>
      <c r="AE24" s="1148"/>
      <c r="AF24" s="1148"/>
      <c r="AG24" s="1148"/>
      <c r="AH24" s="1148"/>
      <c r="AI24" s="1148"/>
      <c r="AJ24" s="1148"/>
      <c r="AK24" s="1148"/>
      <c r="AL24" s="1148"/>
      <c r="AM24" s="1148"/>
      <c r="AN24" s="1148"/>
      <c r="AO24" s="1148"/>
      <c r="AP24" s="1148"/>
      <c r="AQ24" s="1148"/>
      <c r="AR24" s="1148"/>
      <c r="AS24" s="1148"/>
      <c r="AT24" s="1148"/>
      <c r="AU24" s="1148"/>
      <c r="AV24" s="1148"/>
      <c r="AW24" s="1148"/>
      <c r="AX24" s="1148"/>
      <c r="AY24" s="1148"/>
      <c r="AZ24" s="1148"/>
      <c r="BA24" s="1148"/>
      <c r="BB24" s="1148"/>
      <c r="BC24" s="1148"/>
      <c r="BD24" s="1148"/>
      <c r="BE24" s="1148"/>
      <c r="BF24" s="1148"/>
      <c r="BG24" s="1148"/>
      <c r="BH24" s="1148"/>
      <c r="BI24" s="1148"/>
      <c r="BJ24" s="1148"/>
      <c r="BK24" s="1148"/>
      <c r="BL24" s="1148"/>
      <c r="BM24" s="1148"/>
      <c r="BN24" s="1148"/>
      <c r="BO24" s="1148"/>
      <c r="BP24" s="1148"/>
      <c r="BQ24" s="1148"/>
      <c r="BR24" s="1148"/>
      <c r="BS24" s="1148"/>
      <c r="BT24" s="1148"/>
      <c r="BU24" s="1148"/>
      <c r="BV24" s="1148"/>
      <c r="BW24" s="1148"/>
      <c r="BX24" s="1148"/>
      <c r="BY24" s="1148"/>
      <c r="BZ24" s="1148"/>
      <c r="CA24" s="1148"/>
      <c r="CB24" s="1148"/>
      <c r="CC24" s="1148"/>
      <c r="CD24" s="1148"/>
      <c r="CE24" s="1148"/>
      <c r="CF24" s="1148"/>
      <c r="CG24" s="1148"/>
      <c r="CH24" s="1148"/>
      <c r="CI24" s="1148"/>
      <c r="CJ24" s="1148"/>
      <c r="CK24" s="1148"/>
      <c r="CL24" s="1148"/>
      <c r="CM24" s="1148"/>
      <c r="CN24" s="1148"/>
      <c r="CO24" s="1148"/>
      <c r="CP24" s="1148"/>
      <c r="CQ24" s="1148"/>
      <c r="CR24" s="1148"/>
      <c r="CS24" s="1148"/>
      <c r="CT24" s="1148"/>
      <c r="CU24" s="1148"/>
      <c r="CV24" s="1148"/>
      <c r="CW24" s="1148"/>
      <c r="CX24" s="1148"/>
      <c r="CY24" s="1148"/>
      <c r="CZ24" s="1148"/>
      <c r="DA24" s="1148"/>
      <c r="DB24" s="1148"/>
      <c r="DC24" s="1148"/>
      <c r="DD24" s="1148"/>
      <c r="DE24" s="1148"/>
      <c r="DF24" s="1148"/>
      <c r="DG24" s="1148"/>
      <c r="DH24" s="1148"/>
      <c r="DI24" s="1148"/>
      <c r="DJ24" s="1148"/>
      <c r="DK24" s="1148"/>
      <c r="DL24" s="1148"/>
      <c r="DM24" s="1148"/>
      <c r="DN24" s="1148"/>
      <c r="DO24" s="1148"/>
      <c r="DP24" s="1148"/>
      <c r="DQ24" s="1148"/>
      <c r="DR24" s="1148"/>
      <c r="DS24" s="1148"/>
      <c r="DT24" s="1148"/>
      <c r="DU24" s="1148"/>
      <c r="DV24" s="1148"/>
      <c r="DW24" s="1148"/>
      <c r="DX24" s="1148"/>
      <c r="DY24" s="1148"/>
      <c r="DZ24" s="1148"/>
      <c r="EA24" s="1148"/>
    </row>
    <row r="25" spans="1:131" s="1157" customFormat="1" ht="40.5" hidden="1" customHeight="1">
      <c r="A25" s="1536" t="s">
        <v>805</v>
      </c>
      <c r="B25" s="1536"/>
      <c r="C25" s="1536"/>
      <c r="D25" s="1536"/>
      <c r="E25" s="1536"/>
      <c r="F25" s="1536"/>
      <c r="G25" s="1536"/>
      <c r="H25" s="1536"/>
      <c r="I25" s="1536"/>
      <c r="J25" s="1536"/>
      <c r="K25" s="1536"/>
      <c r="L25" s="1536"/>
      <c r="M25" s="1536"/>
      <c r="N25" s="1536"/>
      <c r="O25" s="1536"/>
      <c r="P25" s="1536"/>
      <c r="Q25" s="1536"/>
      <c r="R25" s="1536"/>
      <c r="S25" s="1536"/>
      <c r="T25" s="1536"/>
      <c r="U25" s="1536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</row>
    <row r="26" spans="1:131" s="1157" customFormat="1" ht="30" hidden="1" customHeight="1">
      <c r="A26" s="1158" t="s">
        <v>806</v>
      </c>
      <c r="B26" s="1158"/>
      <c r="C26" s="1158"/>
      <c r="D26" s="1158"/>
      <c r="E26" s="1158"/>
      <c r="F26" s="1158"/>
      <c r="G26" s="1158"/>
      <c r="H26" s="1158"/>
      <c r="I26" s="1158"/>
      <c r="J26" s="1159"/>
      <c r="K26" s="1159"/>
      <c r="L26" s="1159"/>
      <c r="M26" s="1160"/>
      <c r="N26" s="1159"/>
      <c r="O26" s="1159"/>
      <c r="P26" s="1159"/>
      <c r="Q26" s="1159"/>
      <c r="R26" s="1159"/>
      <c r="S26" s="1161"/>
      <c r="T26" s="1161"/>
      <c r="U26" s="1161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</row>
    <row r="27" spans="1:131" s="1157" customFormat="1" ht="30" hidden="1" customHeight="1">
      <c r="A27" s="1158" t="s">
        <v>807</v>
      </c>
      <c r="B27" s="1158"/>
      <c r="C27" s="1158"/>
      <c r="D27" s="1158"/>
      <c r="E27" s="1158"/>
      <c r="F27" s="1158"/>
      <c r="G27" s="1158"/>
      <c r="H27" s="1158"/>
      <c r="I27" s="1158"/>
      <c r="J27" s="1158"/>
      <c r="K27" s="1158"/>
      <c r="L27" s="1158"/>
      <c r="M27" s="1162"/>
      <c r="N27" s="1158"/>
      <c r="O27" s="1158"/>
      <c r="P27" s="1158"/>
      <c r="Q27" s="1158"/>
      <c r="R27" s="1158"/>
      <c r="S27" s="1158"/>
      <c r="T27" s="1158"/>
      <c r="U27" s="1163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</row>
    <row r="28" spans="1:131" s="1157" customFormat="1" ht="30" hidden="1" customHeight="1">
      <c r="A28" s="1158" t="s">
        <v>808</v>
      </c>
      <c r="B28" s="1158"/>
      <c r="C28" s="1158"/>
      <c r="D28" s="1158"/>
      <c r="E28" s="1158"/>
      <c r="F28" s="1158"/>
      <c r="G28" s="1158"/>
      <c r="H28" s="1158"/>
      <c r="I28" s="1158"/>
      <c r="J28" s="1159"/>
      <c r="K28" s="1159"/>
      <c r="L28" s="1159"/>
      <c r="M28" s="1160"/>
      <c r="N28" s="1159"/>
      <c r="O28" s="1160"/>
      <c r="P28" s="1159"/>
      <c r="Q28" s="1159"/>
      <c r="R28" s="1159"/>
      <c r="S28" s="1164"/>
      <c r="T28" s="1164"/>
      <c r="U28" s="1164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</row>
    <row r="29" spans="1:131" s="1157" customFormat="1" ht="30" hidden="1" customHeight="1">
      <c r="A29" s="1159" t="s">
        <v>809</v>
      </c>
      <c r="B29" s="1164"/>
      <c r="C29" s="1164"/>
      <c r="D29" s="1164"/>
      <c r="E29" s="1164"/>
      <c r="F29" s="1164"/>
      <c r="G29" s="1164"/>
      <c r="H29" s="1164"/>
      <c r="I29" s="1164"/>
      <c r="J29" s="1164"/>
      <c r="K29" s="1164"/>
      <c r="L29" s="1164"/>
      <c r="M29" s="1164"/>
      <c r="N29" s="1164"/>
      <c r="O29" s="1164"/>
      <c r="P29" s="1164"/>
      <c r="Q29" s="1164"/>
      <c r="R29" s="1164"/>
      <c r="S29" s="1161"/>
      <c r="T29" s="1161"/>
      <c r="U29" s="1161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</row>
    <row r="30" spans="1:131" s="1157" customFormat="1" ht="30" hidden="1" customHeight="1">
      <c r="A30" s="1165" t="s">
        <v>810</v>
      </c>
      <c r="B30" s="1166"/>
      <c r="C30" s="1166"/>
      <c r="D30" s="1166"/>
      <c r="E30" s="1166"/>
      <c r="F30" s="1166"/>
      <c r="G30" s="1166"/>
      <c r="H30" s="1166"/>
      <c r="I30" s="1166"/>
      <c r="J30" s="1166"/>
      <c r="K30" s="1166"/>
      <c r="L30" s="1166"/>
      <c r="M30" s="1160"/>
      <c r="N30" s="1159"/>
      <c r="O30" s="1159"/>
      <c r="P30" s="1159"/>
      <c r="Q30" s="1159"/>
      <c r="R30" s="1159"/>
      <c r="S30" s="1161"/>
      <c r="T30" s="1161"/>
      <c r="U30" s="1161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</row>
    <row r="31" spans="1:131" s="1157" customFormat="1" ht="30" hidden="1" customHeight="1">
      <c r="A31" s="1158" t="s">
        <v>811</v>
      </c>
      <c r="B31" s="1167"/>
      <c r="C31" s="1167"/>
      <c r="D31" s="1167"/>
      <c r="E31" s="1167"/>
      <c r="F31" s="1167"/>
      <c r="G31" s="1167"/>
      <c r="H31" s="1167"/>
      <c r="I31" s="1167"/>
      <c r="J31" s="1167"/>
      <c r="K31" s="1167"/>
      <c r="L31" s="1167"/>
      <c r="M31" s="1159"/>
      <c r="N31" s="1159"/>
      <c r="O31" s="1159"/>
      <c r="P31" s="1159"/>
      <c r="Q31" s="1159"/>
      <c r="R31" s="1159"/>
      <c r="S31" s="1161"/>
      <c r="T31" s="1161"/>
      <c r="U31" s="1161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</row>
    <row r="32" spans="1:131" s="1157" customFormat="1" ht="30" hidden="1" customHeight="1">
      <c r="A32" s="1158" t="s">
        <v>812</v>
      </c>
      <c r="B32" s="1159"/>
      <c r="C32" s="1159"/>
      <c r="D32" s="1159"/>
      <c r="E32" s="1159"/>
      <c r="F32" s="1159"/>
      <c r="G32" s="1159"/>
      <c r="H32" s="1159"/>
      <c r="I32" s="1159"/>
      <c r="J32" s="1159"/>
      <c r="K32" s="1159"/>
      <c r="L32" s="1159"/>
      <c r="M32" s="1159"/>
      <c r="N32" s="1159"/>
      <c r="O32" s="1159"/>
      <c r="P32" s="1159"/>
      <c r="Q32" s="1159"/>
      <c r="R32" s="1159"/>
      <c r="S32" s="1161"/>
      <c r="T32" s="1161"/>
      <c r="U32" s="1161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</row>
    <row r="33" spans="1:131" s="1157" customFormat="1" ht="30" hidden="1" customHeight="1">
      <c r="A33" s="1165" t="s">
        <v>813</v>
      </c>
      <c r="B33" s="1166"/>
      <c r="C33" s="1166"/>
      <c r="D33" s="1159"/>
      <c r="E33" s="1159"/>
      <c r="F33" s="1159"/>
      <c r="G33" s="1159"/>
      <c r="H33" s="1159"/>
      <c r="I33" s="1159"/>
      <c r="J33" s="1159"/>
      <c r="K33" s="1159"/>
      <c r="L33" s="1159"/>
      <c r="M33" s="1159"/>
      <c r="N33" s="1159"/>
      <c r="O33" s="1159"/>
      <c r="P33" s="1159"/>
      <c r="Q33" s="1159"/>
      <c r="R33" s="1159"/>
      <c r="S33" s="1161"/>
      <c r="T33" s="1161"/>
      <c r="U33" s="1161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</row>
    <row r="34" spans="1:131" s="1157" customFormat="1" ht="30" hidden="1" customHeight="1">
      <c r="A34" s="1168" t="s">
        <v>728</v>
      </c>
      <c r="B34" s="1159"/>
      <c r="C34" s="1159"/>
      <c r="D34" s="1159"/>
      <c r="E34" s="1159"/>
      <c r="F34" s="1159"/>
      <c r="G34" s="1159"/>
      <c r="H34" s="1159"/>
      <c r="I34" s="1159"/>
      <c r="J34" s="1159"/>
      <c r="K34" s="1159"/>
      <c r="L34" s="1159"/>
      <c r="M34" s="1159"/>
      <c r="N34" s="1159"/>
      <c r="O34" s="1159"/>
      <c r="P34" s="1159"/>
      <c r="Q34" s="1159"/>
      <c r="R34" s="1159"/>
      <c r="S34" s="1161"/>
      <c r="T34" s="1161"/>
      <c r="U34" s="1161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</row>
    <row r="35" spans="1:131" s="1157" customFormat="1" ht="30" hidden="1" customHeight="1">
      <c r="A35" s="1168" t="s">
        <v>814</v>
      </c>
      <c r="B35" s="1159"/>
      <c r="C35" s="1159"/>
      <c r="D35" s="1159"/>
      <c r="E35" s="1159"/>
      <c r="F35" s="1159"/>
      <c r="G35" s="1159"/>
      <c r="H35" s="1159"/>
      <c r="I35" s="1159"/>
      <c r="J35" s="1159"/>
      <c r="K35" s="1159"/>
      <c r="L35" s="1159"/>
      <c r="M35" s="1159"/>
      <c r="N35" s="1159"/>
      <c r="O35" s="1159"/>
      <c r="P35" s="1159"/>
      <c r="Q35" s="1159"/>
      <c r="R35" s="1159"/>
      <c r="S35" s="1161"/>
      <c r="T35" s="1161"/>
      <c r="U35" s="1161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</row>
    <row r="36" spans="1:131" s="1157" customFormat="1" ht="30" customHeight="1">
      <c r="A36" s="1169"/>
      <c r="B36" s="1159"/>
      <c r="C36" s="1159"/>
      <c r="D36" s="1159"/>
      <c r="E36" s="1159"/>
      <c r="F36" s="1159"/>
      <c r="G36" s="1159"/>
      <c r="H36" s="1159"/>
      <c r="I36" s="1159"/>
      <c r="J36" s="1159"/>
      <c r="K36" s="1159"/>
      <c r="L36" s="1159"/>
      <c r="M36" s="1159"/>
      <c r="N36" s="1159"/>
      <c r="O36" s="1159"/>
      <c r="P36" s="1159"/>
      <c r="Q36" s="1159"/>
      <c r="R36" s="1159"/>
      <c r="S36" s="1161"/>
      <c r="T36" s="1161"/>
      <c r="U36" s="1161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</row>
    <row r="37" spans="1:131" s="1182" customFormat="1" ht="23.25" customHeight="1">
      <c r="A37" s="1283" t="s">
        <v>831</v>
      </c>
      <c r="B37" s="1283"/>
      <c r="C37" s="1283"/>
      <c r="D37" s="1283"/>
      <c r="E37" s="1283"/>
      <c r="F37" s="1283"/>
      <c r="G37" s="1283"/>
      <c r="H37" s="1284" t="s">
        <v>816</v>
      </c>
      <c r="I37" s="1284"/>
      <c r="J37" s="1284"/>
      <c r="K37" s="1284"/>
      <c r="L37" s="1179"/>
      <c r="M37" s="1179"/>
      <c r="N37" s="1179"/>
      <c r="O37" s="1179"/>
      <c r="Q37" s="1179"/>
      <c r="R37" s="1179" t="s">
        <v>830</v>
      </c>
      <c r="S37" s="1180"/>
      <c r="T37" s="1180"/>
      <c r="U37" s="1180"/>
      <c r="V37" s="1181"/>
      <c r="W37" s="1181"/>
      <c r="X37" s="1181"/>
      <c r="Y37" s="1181"/>
      <c r="Z37" s="1181"/>
      <c r="AA37" s="1181"/>
      <c r="AB37" s="1181"/>
      <c r="AC37" s="1181"/>
      <c r="AD37" s="1181"/>
      <c r="AE37" s="1181"/>
      <c r="AF37" s="1181"/>
      <c r="AG37" s="1181"/>
      <c r="AH37" s="1181"/>
      <c r="AI37" s="1181"/>
      <c r="AJ37" s="1181"/>
      <c r="AK37" s="1181"/>
      <c r="AL37" s="1181"/>
      <c r="AM37" s="1181"/>
      <c r="AN37" s="1181"/>
      <c r="AO37" s="1181"/>
      <c r="AP37" s="1181"/>
      <c r="AQ37" s="1181"/>
      <c r="AR37" s="1181"/>
      <c r="AS37" s="1181"/>
      <c r="AT37" s="1181"/>
      <c r="AU37" s="1181"/>
      <c r="AV37" s="1181"/>
      <c r="AW37" s="1181"/>
      <c r="AX37" s="1181"/>
      <c r="AY37" s="1181"/>
      <c r="AZ37" s="1181"/>
      <c r="BA37" s="1181"/>
      <c r="BB37" s="1181"/>
      <c r="BC37" s="1181"/>
      <c r="BD37" s="1181"/>
      <c r="BE37" s="1181"/>
      <c r="BF37" s="1181"/>
      <c r="BG37" s="1181"/>
      <c r="BH37" s="1181"/>
      <c r="BI37" s="1181"/>
      <c r="BJ37" s="1181"/>
      <c r="BK37" s="1181"/>
      <c r="BL37" s="1181"/>
      <c r="BM37" s="1181"/>
      <c r="BN37" s="1181"/>
      <c r="BO37" s="1181"/>
      <c r="BP37" s="1181"/>
      <c r="BQ37" s="1181"/>
      <c r="BR37" s="1181"/>
      <c r="BS37" s="1181"/>
      <c r="BT37" s="1181"/>
      <c r="BU37" s="1181"/>
      <c r="BV37" s="1181"/>
      <c r="BW37" s="1181"/>
      <c r="BX37" s="1181"/>
      <c r="BY37" s="1181"/>
      <c r="BZ37" s="1181"/>
      <c r="CA37" s="1181"/>
      <c r="CB37" s="1181"/>
      <c r="CC37" s="1181"/>
      <c r="CD37" s="1181"/>
      <c r="CE37" s="1181"/>
      <c r="CF37" s="1181"/>
      <c r="CG37" s="1181"/>
      <c r="CH37" s="1181"/>
      <c r="CI37" s="1181"/>
      <c r="CJ37" s="1181"/>
      <c r="CK37" s="1181"/>
      <c r="CL37" s="1181"/>
      <c r="CM37" s="1181"/>
      <c r="CN37" s="1181"/>
      <c r="CO37" s="1181"/>
      <c r="CP37" s="1181"/>
      <c r="CQ37" s="1181"/>
      <c r="CR37" s="1181"/>
      <c r="CS37" s="1181"/>
      <c r="CT37" s="1181"/>
      <c r="CU37" s="1181"/>
      <c r="CV37" s="1181"/>
      <c r="CW37" s="1181"/>
      <c r="CX37" s="1181"/>
      <c r="CY37" s="1181"/>
      <c r="CZ37" s="1181"/>
      <c r="DA37" s="1181"/>
      <c r="DB37" s="1181"/>
      <c r="DC37" s="1181"/>
      <c r="DD37" s="1181"/>
      <c r="DE37" s="1181"/>
      <c r="DF37" s="1181"/>
      <c r="DG37" s="1181"/>
      <c r="DH37" s="1181"/>
      <c r="DI37" s="1181"/>
      <c r="DJ37" s="1181"/>
      <c r="DK37" s="1181"/>
      <c r="DL37" s="1181"/>
      <c r="DM37" s="1181"/>
      <c r="DN37" s="1181"/>
      <c r="DO37" s="1181"/>
      <c r="DP37" s="1181"/>
      <c r="DQ37" s="1181"/>
      <c r="DR37" s="1181"/>
      <c r="DS37" s="1181"/>
      <c r="DT37" s="1181"/>
      <c r="DU37" s="1181"/>
      <c r="DV37" s="1181"/>
      <c r="DW37" s="1181"/>
      <c r="DX37" s="1181"/>
      <c r="DY37" s="1181"/>
      <c r="DZ37" s="1181"/>
      <c r="EA37" s="1181"/>
    </row>
    <row r="38" spans="1:131" s="1157" customFormat="1" ht="25.5" customHeight="1">
      <c r="A38" s="1254"/>
      <c r="B38" s="1254"/>
      <c r="C38" s="1254"/>
      <c r="D38" s="1254"/>
      <c r="E38" s="1254"/>
      <c r="F38" s="1254"/>
      <c r="G38" s="1254"/>
      <c r="H38" s="1255"/>
      <c r="I38" s="1255"/>
      <c r="J38" s="1255"/>
      <c r="K38" s="1255"/>
      <c r="L38" s="1171"/>
      <c r="M38" s="1171"/>
      <c r="N38" s="1171"/>
      <c r="O38" s="1171"/>
      <c r="P38" s="1171"/>
      <c r="Q38" s="1171"/>
      <c r="R38" s="1171"/>
      <c r="S38" s="1161"/>
      <c r="T38" s="1161"/>
      <c r="U38" s="1161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</row>
    <row r="39" spans="1:131" s="1157" customFormat="1" ht="24.75" customHeight="1">
      <c r="A39" s="1173"/>
      <c r="B39" s="1174"/>
      <c r="C39" s="1174"/>
      <c r="D39" s="1175"/>
      <c r="E39" s="1176"/>
      <c r="F39" s="1177"/>
      <c r="G39" s="1177"/>
      <c r="H39" s="1177"/>
      <c r="I39" s="1177"/>
      <c r="J39" s="1176"/>
      <c r="K39" s="1176"/>
      <c r="L39" s="1176"/>
      <c r="M39" s="1176"/>
      <c r="N39" s="1176"/>
      <c r="O39" s="1176"/>
      <c r="P39" s="1176"/>
      <c r="Q39" s="1176"/>
      <c r="R39" s="1176"/>
      <c r="S39" s="1176"/>
      <c r="T39" s="1176"/>
      <c r="U39" s="1176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</row>
    <row r="43" spans="1:131" ht="20.25">
      <c r="A43" s="1169"/>
    </row>
    <row r="44" spans="1:131" ht="20.25">
      <c r="A44" s="1169"/>
    </row>
  </sheetData>
  <mergeCells count="35">
    <mergeCell ref="A1:U1"/>
    <mergeCell ref="T2:U2"/>
    <mergeCell ref="A4:U4"/>
    <mergeCell ref="A6:A11"/>
    <mergeCell ref="B6:B11"/>
    <mergeCell ref="C6:C11"/>
    <mergeCell ref="D6:D10"/>
    <mergeCell ref="E6:E10"/>
    <mergeCell ref="F6:I7"/>
    <mergeCell ref="J6:U6"/>
    <mergeCell ref="J7:M7"/>
    <mergeCell ref="N7:Q7"/>
    <mergeCell ref="R7:U7"/>
    <mergeCell ref="F8:F10"/>
    <mergeCell ref="G8:G10"/>
    <mergeCell ref="H8:H10"/>
    <mergeCell ref="I8:I10"/>
    <mergeCell ref="J8:J10"/>
    <mergeCell ref="K8:K10"/>
    <mergeCell ref="L8:L10"/>
    <mergeCell ref="A20:A23"/>
    <mergeCell ref="A25:U25"/>
    <mergeCell ref="S8:S10"/>
    <mergeCell ref="T8:T10"/>
    <mergeCell ref="U8:U10"/>
    <mergeCell ref="A12:A15"/>
    <mergeCell ref="C12:C15"/>
    <mergeCell ref="A16:A19"/>
    <mergeCell ref="C16:C19"/>
    <mergeCell ref="M8:M10"/>
    <mergeCell ref="N8:N10"/>
    <mergeCell ref="O8:O10"/>
    <mergeCell ref="P8:P10"/>
    <mergeCell ref="Q8:Q10"/>
    <mergeCell ref="R8:R10"/>
  </mergeCells>
  <printOptions horizontalCentered="1"/>
  <pageMargins left="0.39370078740157483" right="0.39370078740157483" top="0.98425196850393704" bottom="0.78740157480314965" header="0.78740157480314965" footer="0.39370078740157483"/>
  <pageSetup paperSize="9" scale="33" orientation="landscape" r:id="rId1"/>
  <headerFooter>
    <oddHeader>&amp;R&amp;"Arial CE,Tučné"&amp;22Tabulka č. 9/f</oddHeader>
    <oddFooter xml:space="preserve">&amp;C&amp;20&amp;P+31
&amp;10
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B1:S58"/>
  <sheetViews>
    <sheetView showGridLines="0" topLeftCell="A37" zoomScale="70" zoomScaleNormal="70" zoomScaleSheetLayoutView="75" workbookViewId="0">
      <selection activeCell="H43" sqref="H43"/>
    </sheetView>
  </sheetViews>
  <sheetFormatPr defaultRowHeight="12.75"/>
  <cols>
    <col min="1" max="1" width="4.42578125" style="16" customWidth="1"/>
    <col min="2" max="2" width="11.85546875" style="16" customWidth="1"/>
    <col min="3" max="3" width="41.28515625" style="16" customWidth="1"/>
    <col min="4" max="4" width="15.5703125" style="16" customWidth="1"/>
    <col min="5" max="6" width="18" style="16" customWidth="1"/>
    <col min="7" max="7" width="15.5703125" style="16" customWidth="1"/>
    <col min="8" max="8" width="29.7109375" style="16" customWidth="1"/>
    <col min="9" max="9" width="15.7109375" style="16" customWidth="1"/>
    <col min="10" max="10" width="3.140625" style="16" customWidth="1"/>
    <col min="11" max="12" width="9.140625" style="16"/>
    <col min="13" max="13" width="10.140625" style="16" customWidth="1"/>
    <col min="14" max="256" width="9.140625" style="16"/>
    <col min="257" max="257" width="4.42578125" style="16" customWidth="1"/>
    <col min="258" max="258" width="11.85546875" style="16" customWidth="1"/>
    <col min="259" max="259" width="41.28515625" style="16" customWidth="1"/>
    <col min="260" max="260" width="15.5703125" style="16" customWidth="1"/>
    <col min="261" max="262" width="18" style="16" customWidth="1"/>
    <col min="263" max="263" width="15.5703125" style="16" customWidth="1"/>
    <col min="264" max="264" width="29.7109375" style="16" customWidth="1"/>
    <col min="265" max="265" width="15.7109375" style="16" customWidth="1"/>
    <col min="266" max="266" width="3.140625" style="16" customWidth="1"/>
    <col min="267" max="268" width="9.140625" style="16"/>
    <col min="269" max="269" width="10.140625" style="16" customWidth="1"/>
    <col min="270" max="512" width="9.140625" style="16"/>
    <col min="513" max="513" width="4.42578125" style="16" customWidth="1"/>
    <col min="514" max="514" width="11.85546875" style="16" customWidth="1"/>
    <col min="515" max="515" width="41.28515625" style="16" customWidth="1"/>
    <col min="516" max="516" width="15.5703125" style="16" customWidth="1"/>
    <col min="517" max="518" width="18" style="16" customWidth="1"/>
    <col min="519" max="519" width="15.5703125" style="16" customWidth="1"/>
    <col min="520" max="520" width="29.7109375" style="16" customWidth="1"/>
    <col min="521" max="521" width="15.7109375" style="16" customWidth="1"/>
    <col min="522" max="522" width="3.140625" style="16" customWidth="1"/>
    <col min="523" max="524" width="9.140625" style="16"/>
    <col min="525" max="525" width="10.140625" style="16" customWidth="1"/>
    <col min="526" max="768" width="9.140625" style="16"/>
    <col min="769" max="769" width="4.42578125" style="16" customWidth="1"/>
    <col min="770" max="770" width="11.85546875" style="16" customWidth="1"/>
    <col min="771" max="771" width="41.28515625" style="16" customWidth="1"/>
    <col min="772" max="772" width="15.5703125" style="16" customWidth="1"/>
    <col min="773" max="774" width="18" style="16" customWidth="1"/>
    <col min="775" max="775" width="15.5703125" style="16" customWidth="1"/>
    <col min="776" max="776" width="29.7109375" style="16" customWidth="1"/>
    <col min="777" max="777" width="15.7109375" style="16" customWidth="1"/>
    <col min="778" max="778" width="3.140625" style="16" customWidth="1"/>
    <col min="779" max="780" width="9.140625" style="16"/>
    <col min="781" max="781" width="10.140625" style="16" customWidth="1"/>
    <col min="782" max="1024" width="9.140625" style="16"/>
    <col min="1025" max="1025" width="4.42578125" style="16" customWidth="1"/>
    <col min="1026" max="1026" width="11.85546875" style="16" customWidth="1"/>
    <col min="1027" max="1027" width="41.28515625" style="16" customWidth="1"/>
    <col min="1028" max="1028" width="15.5703125" style="16" customWidth="1"/>
    <col min="1029" max="1030" width="18" style="16" customWidth="1"/>
    <col min="1031" max="1031" width="15.5703125" style="16" customWidth="1"/>
    <col min="1032" max="1032" width="29.7109375" style="16" customWidth="1"/>
    <col min="1033" max="1033" width="15.7109375" style="16" customWidth="1"/>
    <col min="1034" max="1034" width="3.140625" style="16" customWidth="1"/>
    <col min="1035" max="1036" width="9.140625" style="16"/>
    <col min="1037" max="1037" width="10.140625" style="16" customWidth="1"/>
    <col min="1038" max="1280" width="9.140625" style="16"/>
    <col min="1281" max="1281" width="4.42578125" style="16" customWidth="1"/>
    <col min="1282" max="1282" width="11.85546875" style="16" customWidth="1"/>
    <col min="1283" max="1283" width="41.28515625" style="16" customWidth="1"/>
    <col min="1284" max="1284" width="15.5703125" style="16" customWidth="1"/>
    <col min="1285" max="1286" width="18" style="16" customWidth="1"/>
    <col min="1287" max="1287" width="15.5703125" style="16" customWidth="1"/>
    <col min="1288" max="1288" width="29.7109375" style="16" customWidth="1"/>
    <col min="1289" max="1289" width="15.7109375" style="16" customWidth="1"/>
    <col min="1290" max="1290" width="3.140625" style="16" customWidth="1"/>
    <col min="1291" max="1292" width="9.140625" style="16"/>
    <col min="1293" max="1293" width="10.140625" style="16" customWidth="1"/>
    <col min="1294" max="1536" width="9.140625" style="16"/>
    <col min="1537" max="1537" width="4.42578125" style="16" customWidth="1"/>
    <col min="1538" max="1538" width="11.85546875" style="16" customWidth="1"/>
    <col min="1539" max="1539" width="41.28515625" style="16" customWidth="1"/>
    <col min="1540" max="1540" width="15.5703125" style="16" customWidth="1"/>
    <col min="1541" max="1542" width="18" style="16" customWidth="1"/>
    <col min="1543" max="1543" width="15.5703125" style="16" customWidth="1"/>
    <col min="1544" max="1544" width="29.7109375" style="16" customWidth="1"/>
    <col min="1545" max="1545" width="15.7109375" style="16" customWidth="1"/>
    <col min="1546" max="1546" width="3.140625" style="16" customWidth="1"/>
    <col min="1547" max="1548" width="9.140625" style="16"/>
    <col min="1549" max="1549" width="10.140625" style="16" customWidth="1"/>
    <col min="1550" max="1792" width="9.140625" style="16"/>
    <col min="1793" max="1793" width="4.42578125" style="16" customWidth="1"/>
    <col min="1794" max="1794" width="11.85546875" style="16" customWidth="1"/>
    <col min="1795" max="1795" width="41.28515625" style="16" customWidth="1"/>
    <col min="1796" max="1796" width="15.5703125" style="16" customWidth="1"/>
    <col min="1797" max="1798" width="18" style="16" customWidth="1"/>
    <col min="1799" max="1799" width="15.5703125" style="16" customWidth="1"/>
    <col min="1800" max="1800" width="29.7109375" style="16" customWidth="1"/>
    <col min="1801" max="1801" width="15.7109375" style="16" customWidth="1"/>
    <col min="1802" max="1802" width="3.140625" style="16" customWidth="1"/>
    <col min="1803" max="1804" width="9.140625" style="16"/>
    <col min="1805" max="1805" width="10.140625" style="16" customWidth="1"/>
    <col min="1806" max="2048" width="9.140625" style="16"/>
    <col min="2049" max="2049" width="4.42578125" style="16" customWidth="1"/>
    <col min="2050" max="2050" width="11.85546875" style="16" customWidth="1"/>
    <col min="2051" max="2051" width="41.28515625" style="16" customWidth="1"/>
    <col min="2052" max="2052" width="15.5703125" style="16" customWidth="1"/>
    <col min="2053" max="2054" width="18" style="16" customWidth="1"/>
    <col min="2055" max="2055" width="15.5703125" style="16" customWidth="1"/>
    <col min="2056" max="2056" width="29.7109375" style="16" customWidth="1"/>
    <col min="2057" max="2057" width="15.7109375" style="16" customWidth="1"/>
    <col min="2058" max="2058" width="3.140625" style="16" customWidth="1"/>
    <col min="2059" max="2060" width="9.140625" style="16"/>
    <col min="2061" max="2061" width="10.140625" style="16" customWidth="1"/>
    <col min="2062" max="2304" width="9.140625" style="16"/>
    <col min="2305" max="2305" width="4.42578125" style="16" customWidth="1"/>
    <col min="2306" max="2306" width="11.85546875" style="16" customWidth="1"/>
    <col min="2307" max="2307" width="41.28515625" style="16" customWidth="1"/>
    <col min="2308" max="2308" width="15.5703125" style="16" customWidth="1"/>
    <col min="2309" max="2310" width="18" style="16" customWidth="1"/>
    <col min="2311" max="2311" width="15.5703125" style="16" customWidth="1"/>
    <col min="2312" max="2312" width="29.7109375" style="16" customWidth="1"/>
    <col min="2313" max="2313" width="15.7109375" style="16" customWidth="1"/>
    <col min="2314" max="2314" width="3.140625" style="16" customWidth="1"/>
    <col min="2315" max="2316" width="9.140625" style="16"/>
    <col min="2317" max="2317" width="10.140625" style="16" customWidth="1"/>
    <col min="2318" max="2560" width="9.140625" style="16"/>
    <col min="2561" max="2561" width="4.42578125" style="16" customWidth="1"/>
    <col min="2562" max="2562" width="11.85546875" style="16" customWidth="1"/>
    <col min="2563" max="2563" width="41.28515625" style="16" customWidth="1"/>
    <col min="2564" max="2564" width="15.5703125" style="16" customWidth="1"/>
    <col min="2565" max="2566" width="18" style="16" customWidth="1"/>
    <col min="2567" max="2567" width="15.5703125" style="16" customWidth="1"/>
    <col min="2568" max="2568" width="29.7109375" style="16" customWidth="1"/>
    <col min="2569" max="2569" width="15.7109375" style="16" customWidth="1"/>
    <col min="2570" max="2570" width="3.140625" style="16" customWidth="1"/>
    <col min="2571" max="2572" width="9.140625" style="16"/>
    <col min="2573" max="2573" width="10.140625" style="16" customWidth="1"/>
    <col min="2574" max="2816" width="9.140625" style="16"/>
    <col min="2817" max="2817" width="4.42578125" style="16" customWidth="1"/>
    <col min="2818" max="2818" width="11.85546875" style="16" customWidth="1"/>
    <col min="2819" max="2819" width="41.28515625" style="16" customWidth="1"/>
    <col min="2820" max="2820" width="15.5703125" style="16" customWidth="1"/>
    <col min="2821" max="2822" width="18" style="16" customWidth="1"/>
    <col min="2823" max="2823" width="15.5703125" style="16" customWidth="1"/>
    <col min="2824" max="2824" width="29.7109375" style="16" customWidth="1"/>
    <col min="2825" max="2825" width="15.7109375" style="16" customWidth="1"/>
    <col min="2826" max="2826" width="3.140625" style="16" customWidth="1"/>
    <col min="2827" max="2828" width="9.140625" style="16"/>
    <col min="2829" max="2829" width="10.140625" style="16" customWidth="1"/>
    <col min="2830" max="3072" width="9.140625" style="16"/>
    <col min="3073" max="3073" width="4.42578125" style="16" customWidth="1"/>
    <col min="3074" max="3074" width="11.85546875" style="16" customWidth="1"/>
    <col min="3075" max="3075" width="41.28515625" style="16" customWidth="1"/>
    <col min="3076" max="3076" width="15.5703125" style="16" customWidth="1"/>
    <col min="3077" max="3078" width="18" style="16" customWidth="1"/>
    <col min="3079" max="3079" width="15.5703125" style="16" customWidth="1"/>
    <col min="3080" max="3080" width="29.7109375" style="16" customWidth="1"/>
    <col min="3081" max="3081" width="15.7109375" style="16" customWidth="1"/>
    <col min="3082" max="3082" width="3.140625" style="16" customWidth="1"/>
    <col min="3083" max="3084" width="9.140625" style="16"/>
    <col min="3085" max="3085" width="10.140625" style="16" customWidth="1"/>
    <col min="3086" max="3328" width="9.140625" style="16"/>
    <col min="3329" max="3329" width="4.42578125" style="16" customWidth="1"/>
    <col min="3330" max="3330" width="11.85546875" style="16" customWidth="1"/>
    <col min="3331" max="3331" width="41.28515625" style="16" customWidth="1"/>
    <col min="3332" max="3332" width="15.5703125" style="16" customWidth="1"/>
    <col min="3333" max="3334" width="18" style="16" customWidth="1"/>
    <col min="3335" max="3335" width="15.5703125" style="16" customWidth="1"/>
    <col min="3336" max="3336" width="29.7109375" style="16" customWidth="1"/>
    <col min="3337" max="3337" width="15.7109375" style="16" customWidth="1"/>
    <col min="3338" max="3338" width="3.140625" style="16" customWidth="1"/>
    <col min="3339" max="3340" width="9.140625" style="16"/>
    <col min="3341" max="3341" width="10.140625" style="16" customWidth="1"/>
    <col min="3342" max="3584" width="9.140625" style="16"/>
    <col min="3585" max="3585" width="4.42578125" style="16" customWidth="1"/>
    <col min="3586" max="3586" width="11.85546875" style="16" customWidth="1"/>
    <col min="3587" max="3587" width="41.28515625" style="16" customWidth="1"/>
    <col min="3588" max="3588" width="15.5703125" style="16" customWidth="1"/>
    <col min="3589" max="3590" width="18" style="16" customWidth="1"/>
    <col min="3591" max="3591" width="15.5703125" style="16" customWidth="1"/>
    <col min="3592" max="3592" width="29.7109375" style="16" customWidth="1"/>
    <col min="3593" max="3593" width="15.7109375" style="16" customWidth="1"/>
    <col min="3594" max="3594" width="3.140625" style="16" customWidth="1"/>
    <col min="3595" max="3596" width="9.140625" style="16"/>
    <col min="3597" max="3597" width="10.140625" style="16" customWidth="1"/>
    <col min="3598" max="3840" width="9.140625" style="16"/>
    <col min="3841" max="3841" width="4.42578125" style="16" customWidth="1"/>
    <col min="3842" max="3842" width="11.85546875" style="16" customWidth="1"/>
    <col min="3843" max="3843" width="41.28515625" style="16" customWidth="1"/>
    <col min="3844" max="3844" width="15.5703125" style="16" customWidth="1"/>
    <col min="3845" max="3846" width="18" style="16" customWidth="1"/>
    <col min="3847" max="3847" width="15.5703125" style="16" customWidth="1"/>
    <col min="3848" max="3848" width="29.7109375" style="16" customWidth="1"/>
    <col min="3849" max="3849" width="15.7109375" style="16" customWidth="1"/>
    <col min="3850" max="3850" width="3.140625" style="16" customWidth="1"/>
    <col min="3851" max="3852" width="9.140625" style="16"/>
    <col min="3853" max="3853" width="10.140625" style="16" customWidth="1"/>
    <col min="3854" max="4096" width="9.140625" style="16"/>
    <col min="4097" max="4097" width="4.42578125" style="16" customWidth="1"/>
    <col min="4098" max="4098" width="11.85546875" style="16" customWidth="1"/>
    <col min="4099" max="4099" width="41.28515625" style="16" customWidth="1"/>
    <col min="4100" max="4100" width="15.5703125" style="16" customWidth="1"/>
    <col min="4101" max="4102" width="18" style="16" customWidth="1"/>
    <col min="4103" max="4103" width="15.5703125" style="16" customWidth="1"/>
    <col min="4104" max="4104" width="29.7109375" style="16" customWidth="1"/>
    <col min="4105" max="4105" width="15.7109375" style="16" customWidth="1"/>
    <col min="4106" max="4106" width="3.140625" style="16" customWidth="1"/>
    <col min="4107" max="4108" width="9.140625" style="16"/>
    <col min="4109" max="4109" width="10.140625" style="16" customWidth="1"/>
    <col min="4110" max="4352" width="9.140625" style="16"/>
    <col min="4353" max="4353" width="4.42578125" style="16" customWidth="1"/>
    <col min="4354" max="4354" width="11.85546875" style="16" customWidth="1"/>
    <col min="4355" max="4355" width="41.28515625" style="16" customWidth="1"/>
    <col min="4356" max="4356" width="15.5703125" style="16" customWidth="1"/>
    <col min="4357" max="4358" width="18" style="16" customWidth="1"/>
    <col min="4359" max="4359" width="15.5703125" style="16" customWidth="1"/>
    <col min="4360" max="4360" width="29.7109375" style="16" customWidth="1"/>
    <col min="4361" max="4361" width="15.7109375" style="16" customWidth="1"/>
    <col min="4362" max="4362" width="3.140625" style="16" customWidth="1"/>
    <col min="4363" max="4364" width="9.140625" style="16"/>
    <col min="4365" max="4365" width="10.140625" style="16" customWidth="1"/>
    <col min="4366" max="4608" width="9.140625" style="16"/>
    <col min="4609" max="4609" width="4.42578125" style="16" customWidth="1"/>
    <col min="4610" max="4610" width="11.85546875" style="16" customWidth="1"/>
    <col min="4611" max="4611" width="41.28515625" style="16" customWidth="1"/>
    <col min="4612" max="4612" width="15.5703125" style="16" customWidth="1"/>
    <col min="4613" max="4614" width="18" style="16" customWidth="1"/>
    <col min="4615" max="4615" width="15.5703125" style="16" customWidth="1"/>
    <col min="4616" max="4616" width="29.7109375" style="16" customWidth="1"/>
    <col min="4617" max="4617" width="15.7109375" style="16" customWidth="1"/>
    <col min="4618" max="4618" width="3.140625" style="16" customWidth="1"/>
    <col min="4619" max="4620" width="9.140625" style="16"/>
    <col min="4621" max="4621" width="10.140625" style="16" customWidth="1"/>
    <col min="4622" max="4864" width="9.140625" style="16"/>
    <col min="4865" max="4865" width="4.42578125" style="16" customWidth="1"/>
    <col min="4866" max="4866" width="11.85546875" style="16" customWidth="1"/>
    <col min="4867" max="4867" width="41.28515625" style="16" customWidth="1"/>
    <col min="4868" max="4868" width="15.5703125" style="16" customWidth="1"/>
    <col min="4869" max="4870" width="18" style="16" customWidth="1"/>
    <col min="4871" max="4871" width="15.5703125" style="16" customWidth="1"/>
    <col min="4872" max="4872" width="29.7109375" style="16" customWidth="1"/>
    <col min="4873" max="4873" width="15.7109375" style="16" customWidth="1"/>
    <col min="4874" max="4874" width="3.140625" style="16" customWidth="1"/>
    <col min="4875" max="4876" width="9.140625" style="16"/>
    <col min="4877" max="4877" width="10.140625" style="16" customWidth="1"/>
    <col min="4878" max="5120" width="9.140625" style="16"/>
    <col min="5121" max="5121" width="4.42578125" style="16" customWidth="1"/>
    <col min="5122" max="5122" width="11.85546875" style="16" customWidth="1"/>
    <col min="5123" max="5123" width="41.28515625" style="16" customWidth="1"/>
    <col min="5124" max="5124" width="15.5703125" style="16" customWidth="1"/>
    <col min="5125" max="5126" width="18" style="16" customWidth="1"/>
    <col min="5127" max="5127" width="15.5703125" style="16" customWidth="1"/>
    <col min="5128" max="5128" width="29.7109375" style="16" customWidth="1"/>
    <col min="5129" max="5129" width="15.7109375" style="16" customWidth="1"/>
    <col min="5130" max="5130" width="3.140625" style="16" customWidth="1"/>
    <col min="5131" max="5132" width="9.140625" style="16"/>
    <col min="5133" max="5133" width="10.140625" style="16" customWidth="1"/>
    <col min="5134" max="5376" width="9.140625" style="16"/>
    <col min="5377" max="5377" width="4.42578125" style="16" customWidth="1"/>
    <col min="5378" max="5378" width="11.85546875" style="16" customWidth="1"/>
    <col min="5379" max="5379" width="41.28515625" style="16" customWidth="1"/>
    <col min="5380" max="5380" width="15.5703125" style="16" customWidth="1"/>
    <col min="5381" max="5382" width="18" style="16" customWidth="1"/>
    <col min="5383" max="5383" width="15.5703125" style="16" customWidth="1"/>
    <col min="5384" max="5384" width="29.7109375" style="16" customWidth="1"/>
    <col min="5385" max="5385" width="15.7109375" style="16" customWidth="1"/>
    <col min="5386" max="5386" width="3.140625" style="16" customWidth="1"/>
    <col min="5387" max="5388" width="9.140625" style="16"/>
    <col min="5389" max="5389" width="10.140625" style="16" customWidth="1"/>
    <col min="5390" max="5632" width="9.140625" style="16"/>
    <col min="5633" max="5633" width="4.42578125" style="16" customWidth="1"/>
    <col min="5634" max="5634" width="11.85546875" style="16" customWidth="1"/>
    <col min="5635" max="5635" width="41.28515625" style="16" customWidth="1"/>
    <col min="5636" max="5636" width="15.5703125" style="16" customWidth="1"/>
    <col min="5637" max="5638" width="18" style="16" customWidth="1"/>
    <col min="5639" max="5639" width="15.5703125" style="16" customWidth="1"/>
    <col min="5640" max="5640" width="29.7109375" style="16" customWidth="1"/>
    <col min="5641" max="5641" width="15.7109375" style="16" customWidth="1"/>
    <col min="5642" max="5642" width="3.140625" style="16" customWidth="1"/>
    <col min="5643" max="5644" width="9.140625" style="16"/>
    <col min="5645" max="5645" width="10.140625" style="16" customWidth="1"/>
    <col min="5646" max="5888" width="9.140625" style="16"/>
    <col min="5889" max="5889" width="4.42578125" style="16" customWidth="1"/>
    <col min="5890" max="5890" width="11.85546875" style="16" customWidth="1"/>
    <col min="5891" max="5891" width="41.28515625" style="16" customWidth="1"/>
    <col min="5892" max="5892" width="15.5703125" style="16" customWidth="1"/>
    <col min="5893" max="5894" width="18" style="16" customWidth="1"/>
    <col min="5895" max="5895" width="15.5703125" style="16" customWidth="1"/>
    <col min="5896" max="5896" width="29.7109375" style="16" customWidth="1"/>
    <col min="5897" max="5897" width="15.7109375" style="16" customWidth="1"/>
    <col min="5898" max="5898" width="3.140625" style="16" customWidth="1"/>
    <col min="5899" max="5900" width="9.140625" style="16"/>
    <col min="5901" max="5901" width="10.140625" style="16" customWidth="1"/>
    <col min="5902" max="6144" width="9.140625" style="16"/>
    <col min="6145" max="6145" width="4.42578125" style="16" customWidth="1"/>
    <col min="6146" max="6146" width="11.85546875" style="16" customWidth="1"/>
    <col min="6147" max="6147" width="41.28515625" style="16" customWidth="1"/>
    <col min="6148" max="6148" width="15.5703125" style="16" customWidth="1"/>
    <col min="6149" max="6150" width="18" style="16" customWidth="1"/>
    <col min="6151" max="6151" width="15.5703125" style="16" customWidth="1"/>
    <col min="6152" max="6152" width="29.7109375" style="16" customWidth="1"/>
    <col min="6153" max="6153" width="15.7109375" style="16" customWidth="1"/>
    <col min="6154" max="6154" width="3.140625" style="16" customWidth="1"/>
    <col min="6155" max="6156" width="9.140625" style="16"/>
    <col min="6157" max="6157" width="10.140625" style="16" customWidth="1"/>
    <col min="6158" max="6400" width="9.140625" style="16"/>
    <col min="6401" max="6401" width="4.42578125" style="16" customWidth="1"/>
    <col min="6402" max="6402" width="11.85546875" style="16" customWidth="1"/>
    <col min="6403" max="6403" width="41.28515625" style="16" customWidth="1"/>
    <col min="6404" max="6404" width="15.5703125" style="16" customWidth="1"/>
    <col min="6405" max="6406" width="18" style="16" customWidth="1"/>
    <col min="6407" max="6407" width="15.5703125" style="16" customWidth="1"/>
    <col min="6408" max="6408" width="29.7109375" style="16" customWidth="1"/>
    <col min="6409" max="6409" width="15.7109375" style="16" customWidth="1"/>
    <col min="6410" max="6410" width="3.140625" style="16" customWidth="1"/>
    <col min="6411" max="6412" width="9.140625" style="16"/>
    <col min="6413" max="6413" width="10.140625" style="16" customWidth="1"/>
    <col min="6414" max="6656" width="9.140625" style="16"/>
    <col min="6657" max="6657" width="4.42578125" style="16" customWidth="1"/>
    <col min="6658" max="6658" width="11.85546875" style="16" customWidth="1"/>
    <col min="6659" max="6659" width="41.28515625" style="16" customWidth="1"/>
    <col min="6660" max="6660" width="15.5703125" style="16" customWidth="1"/>
    <col min="6661" max="6662" width="18" style="16" customWidth="1"/>
    <col min="6663" max="6663" width="15.5703125" style="16" customWidth="1"/>
    <col min="6664" max="6664" width="29.7109375" style="16" customWidth="1"/>
    <col min="6665" max="6665" width="15.7109375" style="16" customWidth="1"/>
    <col min="6666" max="6666" width="3.140625" style="16" customWidth="1"/>
    <col min="6667" max="6668" width="9.140625" style="16"/>
    <col min="6669" max="6669" width="10.140625" style="16" customWidth="1"/>
    <col min="6670" max="6912" width="9.140625" style="16"/>
    <col min="6913" max="6913" width="4.42578125" style="16" customWidth="1"/>
    <col min="6914" max="6914" width="11.85546875" style="16" customWidth="1"/>
    <col min="6915" max="6915" width="41.28515625" style="16" customWidth="1"/>
    <col min="6916" max="6916" width="15.5703125" style="16" customWidth="1"/>
    <col min="6917" max="6918" width="18" style="16" customWidth="1"/>
    <col min="6919" max="6919" width="15.5703125" style="16" customWidth="1"/>
    <col min="6920" max="6920" width="29.7109375" style="16" customWidth="1"/>
    <col min="6921" max="6921" width="15.7109375" style="16" customWidth="1"/>
    <col min="6922" max="6922" width="3.140625" style="16" customWidth="1"/>
    <col min="6923" max="6924" width="9.140625" style="16"/>
    <col min="6925" max="6925" width="10.140625" style="16" customWidth="1"/>
    <col min="6926" max="7168" width="9.140625" style="16"/>
    <col min="7169" max="7169" width="4.42578125" style="16" customWidth="1"/>
    <col min="7170" max="7170" width="11.85546875" style="16" customWidth="1"/>
    <col min="7171" max="7171" width="41.28515625" style="16" customWidth="1"/>
    <col min="7172" max="7172" width="15.5703125" style="16" customWidth="1"/>
    <col min="7173" max="7174" width="18" style="16" customWidth="1"/>
    <col min="7175" max="7175" width="15.5703125" style="16" customWidth="1"/>
    <col min="7176" max="7176" width="29.7109375" style="16" customWidth="1"/>
    <col min="7177" max="7177" width="15.7109375" style="16" customWidth="1"/>
    <col min="7178" max="7178" width="3.140625" style="16" customWidth="1"/>
    <col min="7179" max="7180" width="9.140625" style="16"/>
    <col min="7181" max="7181" width="10.140625" style="16" customWidth="1"/>
    <col min="7182" max="7424" width="9.140625" style="16"/>
    <col min="7425" max="7425" width="4.42578125" style="16" customWidth="1"/>
    <col min="7426" max="7426" width="11.85546875" style="16" customWidth="1"/>
    <col min="7427" max="7427" width="41.28515625" style="16" customWidth="1"/>
    <col min="7428" max="7428" width="15.5703125" style="16" customWidth="1"/>
    <col min="7429" max="7430" width="18" style="16" customWidth="1"/>
    <col min="7431" max="7431" width="15.5703125" style="16" customWidth="1"/>
    <col min="7432" max="7432" width="29.7109375" style="16" customWidth="1"/>
    <col min="7433" max="7433" width="15.7109375" style="16" customWidth="1"/>
    <col min="7434" max="7434" width="3.140625" style="16" customWidth="1"/>
    <col min="7435" max="7436" width="9.140625" style="16"/>
    <col min="7437" max="7437" width="10.140625" style="16" customWidth="1"/>
    <col min="7438" max="7680" width="9.140625" style="16"/>
    <col min="7681" max="7681" width="4.42578125" style="16" customWidth="1"/>
    <col min="7682" max="7682" width="11.85546875" style="16" customWidth="1"/>
    <col min="7683" max="7683" width="41.28515625" style="16" customWidth="1"/>
    <col min="7684" max="7684" width="15.5703125" style="16" customWidth="1"/>
    <col min="7685" max="7686" width="18" style="16" customWidth="1"/>
    <col min="7687" max="7687" width="15.5703125" style="16" customWidth="1"/>
    <col min="7688" max="7688" width="29.7109375" style="16" customWidth="1"/>
    <col min="7689" max="7689" width="15.7109375" style="16" customWidth="1"/>
    <col min="7690" max="7690" width="3.140625" style="16" customWidth="1"/>
    <col min="7691" max="7692" width="9.140625" style="16"/>
    <col min="7693" max="7693" width="10.140625" style="16" customWidth="1"/>
    <col min="7694" max="7936" width="9.140625" style="16"/>
    <col min="7937" max="7937" width="4.42578125" style="16" customWidth="1"/>
    <col min="7938" max="7938" width="11.85546875" style="16" customWidth="1"/>
    <col min="7939" max="7939" width="41.28515625" style="16" customWidth="1"/>
    <col min="7940" max="7940" width="15.5703125" style="16" customWidth="1"/>
    <col min="7941" max="7942" width="18" style="16" customWidth="1"/>
    <col min="7943" max="7943" width="15.5703125" style="16" customWidth="1"/>
    <col min="7944" max="7944" width="29.7109375" style="16" customWidth="1"/>
    <col min="7945" max="7945" width="15.7109375" style="16" customWidth="1"/>
    <col min="7946" max="7946" width="3.140625" style="16" customWidth="1"/>
    <col min="7947" max="7948" width="9.140625" style="16"/>
    <col min="7949" max="7949" width="10.140625" style="16" customWidth="1"/>
    <col min="7950" max="8192" width="9.140625" style="16"/>
    <col min="8193" max="8193" width="4.42578125" style="16" customWidth="1"/>
    <col min="8194" max="8194" width="11.85546875" style="16" customWidth="1"/>
    <col min="8195" max="8195" width="41.28515625" style="16" customWidth="1"/>
    <col min="8196" max="8196" width="15.5703125" style="16" customWidth="1"/>
    <col min="8197" max="8198" width="18" style="16" customWidth="1"/>
    <col min="8199" max="8199" width="15.5703125" style="16" customWidth="1"/>
    <col min="8200" max="8200" width="29.7109375" style="16" customWidth="1"/>
    <col min="8201" max="8201" width="15.7109375" style="16" customWidth="1"/>
    <col min="8202" max="8202" width="3.140625" style="16" customWidth="1"/>
    <col min="8203" max="8204" width="9.140625" style="16"/>
    <col min="8205" max="8205" width="10.140625" style="16" customWidth="1"/>
    <col min="8206" max="8448" width="9.140625" style="16"/>
    <col min="8449" max="8449" width="4.42578125" style="16" customWidth="1"/>
    <col min="8450" max="8450" width="11.85546875" style="16" customWidth="1"/>
    <col min="8451" max="8451" width="41.28515625" style="16" customWidth="1"/>
    <col min="8452" max="8452" width="15.5703125" style="16" customWidth="1"/>
    <col min="8453" max="8454" width="18" style="16" customWidth="1"/>
    <col min="8455" max="8455" width="15.5703125" style="16" customWidth="1"/>
    <col min="8456" max="8456" width="29.7109375" style="16" customWidth="1"/>
    <col min="8457" max="8457" width="15.7109375" style="16" customWidth="1"/>
    <col min="8458" max="8458" width="3.140625" style="16" customWidth="1"/>
    <col min="8459" max="8460" width="9.140625" style="16"/>
    <col min="8461" max="8461" width="10.140625" style="16" customWidth="1"/>
    <col min="8462" max="8704" width="9.140625" style="16"/>
    <col min="8705" max="8705" width="4.42578125" style="16" customWidth="1"/>
    <col min="8706" max="8706" width="11.85546875" style="16" customWidth="1"/>
    <col min="8707" max="8707" width="41.28515625" style="16" customWidth="1"/>
    <col min="8708" max="8708" width="15.5703125" style="16" customWidth="1"/>
    <col min="8709" max="8710" width="18" style="16" customWidth="1"/>
    <col min="8711" max="8711" width="15.5703125" style="16" customWidth="1"/>
    <col min="8712" max="8712" width="29.7109375" style="16" customWidth="1"/>
    <col min="8713" max="8713" width="15.7109375" style="16" customWidth="1"/>
    <col min="8714" max="8714" width="3.140625" style="16" customWidth="1"/>
    <col min="8715" max="8716" width="9.140625" style="16"/>
    <col min="8717" max="8717" width="10.140625" style="16" customWidth="1"/>
    <col min="8718" max="8960" width="9.140625" style="16"/>
    <col min="8961" max="8961" width="4.42578125" style="16" customWidth="1"/>
    <col min="8962" max="8962" width="11.85546875" style="16" customWidth="1"/>
    <col min="8963" max="8963" width="41.28515625" style="16" customWidth="1"/>
    <col min="8964" max="8964" width="15.5703125" style="16" customWidth="1"/>
    <col min="8965" max="8966" width="18" style="16" customWidth="1"/>
    <col min="8967" max="8967" width="15.5703125" style="16" customWidth="1"/>
    <col min="8968" max="8968" width="29.7109375" style="16" customWidth="1"/>
    <col min="8969" max="8969" width="15.7109375" style="16" customWidth="1"/>
    <col min="8970" max="8970" width="3.140625" style="16" customWidth="1"/>
    <col min="8971" max="8972" width="9.140625" style="16"/>
    <col min="8973" max="8973" width="10.140625" style="16" customWidth="1"/>
    <col min="8974" max="9216" width="9.140625" style="16"/>
    <col min="9217" max="9217" width="4.42578125" style="16" customWidth="1"/>
    <col min="9218" max="9218" width="11.85546875" style="16" customWidth="1"/>
    <col min="9219" max="9219" width="41.28515625" style="16" customWidth="1"/>
    <col min="9220" max="9220" width="15.5703125" style="16" customWidth="1"/>
    <col min="9221" max="9222" width="18" style="16" customWidth="1"/>
    <col min="9223" max="9223" width="15.5703125" style="16" customWidth="1"/>
    <col min="9224" max="9224" width="29.7109375" style="16" customWidth="1"/>
    <col min="9225" max="9225" width="15.7109375" style="16" customWidth="1"/>
    <col min="9226" max="9226" width="3.140625" style="16" customWidth="1"/>
    <col min="9227" max="9228" width="9.140625" style="16"/>
    <col min="9229" max="9229" width="10.140625" style="16" customWidth="1"/>
    <col min="9230" max="9472" width="9.140625" style="16"/>
    <col min="9473" max="9473" width="4.42578125" style="16" customWidth="1"/>
    <col min="9474" max="9474" width="11.85546875" style="16" customWidth="1"/>
    <col min="9475" max="9475" width="41.28515625" style="16" customWidth="1"/>
    <col min="9476" max="9476" width="15.5703125" style="16" customWidth="1"/>
    <col min="9477" max="9478" width="18" style="16" customWidth="1"/>
    <col min="9479" max="9479" width="15.5703125" style="16" customWidth="1"/>
    <col min="9480" max="9480" width="29.7109375" style="16" customWidth="1"/>
    <col min="9481" max="9481" width="15.7109375" style="16" customWidth="1"/>
    <col min="9482" max="9482" width="3.140625" style="16" customWidth="1"/>
    <col min="9483" max="9484" width="9.140625" style="16"/>
    <col min="9485" max="9485" width="10.140625" style="16" customWidth="1"/>
    <col min="9486" max="9728" width="9.140625" style="16"/>
    <col min="9729" max="9729" width="4.42578125" style="16" customWidth="1"/>
    <col min="9730" max="9730" width="11.85546875" style="16" customWidth="1"/>
    <col min="9731" max="9731" width="41.28515625" style="16" customWidth="1"/>
    <col min="9732" max="9732" width="15.5703125" style="16" customWidth="1"/>
    <col min="9733" max="9734" width="18" style="16" customWidth="1"/>
    <col min="9735" max="9735" width="15.5703125" style="16" customWidth="1"/>
    <col min="9736" max="9736" width="29.7109375" style="16" customWidth="1"/>
    <col min="9737" max="9737" width="15.7109375" style="16" customWidth="1"/>
    <col min="9738" max="9738" width="3.140625" style="16" customWidth="1"/>
    <col min="9739" max="9740" width="9.140625" style="16"/>
    <col min="9741" max="9741" width="10.140625" style="16" customWidth="1"/>
    <col min="9742" max="9984" width="9.140625" style="16"/>
    <col min="9985" max="9985" width="4.42578125" style="16" customWidth="1"/>
    <col min="9986" max="9986" width="11.85546875" style="16" customWidth="1"/>
    <col min="9987" max="9987" width="41.28515625" style="16" customWidth="1"/>
    <col min="9988" max="9988" width="15.5703125" style="16" customWidth="1"/>
    <col min="9989" max="9990" width="18" style="16" customWidth="1"/>
    <col min="9991" max="9991" width="15.5703125" style="16" customWidth="1"/>
    <col min="9992" max="9992" width="29.7109375" style="16" customWidth="1"/>
    <col min="9993" max="9993" width="15.7109375" style="16" customWidth="1"/>
    <col min="9994" max="9994" width="3.140625" style="16" customWidth="1"/>
    <col min="9995" max="9996" width="9.140625" style="16"/>
    <col min="9997" max="9997" width="10.140625" style="16" customWidth="1"/>
    <col min="9998" max="10240" width="9.140625" style="16"/>
    <col min="10241" max="10241" width="4.42578125" style="16" customWidth="1"/>
    <col min="10242" max="10242" width="11.85546875" style="16" customWidth="1"/>
    <col min="10243" max="10243" width="41.28515625" style="16" customWidth="1"/>
    <col min="10244" max="10244" width="15.5703125" style="16" customWidth="1"/>
    <col min="10245" max="10246" width="18" style="16" customWidth="1"/>
    <col min="10247" max="10247" width="15.5703125" style="16" customWidth="1"/>
    <col min="10248" max="10248" width="29.7109375" style="16" customWidth="1"/>
    <col min="10249" max="10249" width="15.7109375" style="16" customWidth="1"/>
    <col min="10250" max="10250" width="3.140625" style="16" customWidth="1"/>
    <col min="10251" max="10252" width="9.140625" style="16"/>
    <col min="10253" max="10253" width="10.140625" style="16" customWidth="1"/>
    <col min="10254" max="10496" width="9.140625" style="16"/>
    <col min="10497" max="10497" width="4.42578125" style="16" customWidth="1"/>
    <col min="10498" max="10498" width="11.85546875" style="16" customWidth="1"/>
    <col min="10499" max="10499" width="41.28515625" style="16" customWidth="1"/>
    <col min="10500" max="10500" width="15.5703125" style="16" customWidth="1"/>
    <col min="10501" max="10502" width="18" style="16" customWidth="1"/>
    <col min="10503" max="10503" width="15.5703125" style="16" customWidth="1"/>
    <col min="10504" max="10504" width="29.7109375" style="16" customWidth="1"/>
    <col min="10505" max="10505" width="15.7109375" style="16" customWidth="1"/>
    <col min="10506" max="10506" width="3.140625" style="16" customWidth="1"/>
    <col min="10507" max="10508" width="9.140625" style="16"/>
    <col min="10509" max="10509" width="10.140625" style="16" customWidth="1"/>
    <col min="10510" max="10752" width="9.140625" style="16"/>
    <col min="10753" max="10753" width="4.42578125" style="16" customWidth="1"/>
    <col min="10754" max="10754" width="11.85546875" style="16" customWidth="1"/>
    <col min="10755" max="10755" width="41.28515625" style="16" customWidth="1"/>
    <col min="10756" max="10756" width="15.5703125" style="16" customWidth="1"/>
    <col min="10757" max="10758" width="18" style="16" customWidth="1"/>
    <col min="10759" max="10759" width="15.5703125" style="16" customWidth="1"/>
    <col min="10760" max="10760" width="29.7109375" style="16" customWidth="1"/>
    <col min="10761" max="10761" width="15.7109375" style="16" customWidth="1"/>
    <col min="10762" max="10762" width="3.140625" style="16" customWidth="1"/>
    <col min="10763" max="10764" width="9.140625" style="16"/>
    <col min="10765" max="10765" width="10.140625" style="16" customWidth="1"/>
    <col min="10766" max="11008" width="9.140625" style="16"/>
    <col min="11009" max="11009" width="4.42578125" style="16" customWidth="1"/>
    <col min="11010" max="11010" width="11.85546875" style="16" customWidth="1"/>
    <col min="11011" max="11011" width="41.28515625" style="16" customWidth="1"/>
    <col min="11012" max="11012" width="15.5703125" style="16" customWidth="1"/>
    <col min="11013" max="11014" width="18" style="16" customWidth="1"/>
    <col min="11015" max="11015" width="15.5703125" style="16" customWidth="1"/>
    <col min="11016" max="11016" width="29.7109375" style="16" customWidth="1"/>
    <col min="11017" max="11017" width="15.7109375" style="16" customWidth="1"/>
    <col min="11018" max="11018" width="3.140625" style="16" customWidth="1"/>
    <col min="11019" max="11020" width="9.140625" style="16"/>
    <col min="11021" max="11021" width="10.140625" style="16" customWidth="1"/>
    <col min="11022" max="11264" width="9.140625" style="16"/>
    <col min="11265" max="11265" width="4.42578125" style="16" customWidth="1"/>
    <col min="11266" max="11266" width="11.85546875" style="16" customWidth="1"/>
    <col min="11267" max="11267" width="41.28515625" style="16" customWidth="1"/>
    <col min="11268" max="11268" width="15.5703125" style="16" customWidth="1"/>
    <col min="11269" max="11270" width="18" style="16" customWidth="1"/>
    <col min="11271" max="11271" width="15.5703125" style="16" customWidth="1"/>
    <col min="11272" max="11272" width="29.7109375" style="16" customWidth="1"/>
    <col min="11273" max="11273" width="15.7109375" style="16" customWidth="1"/>
    <col min="11274" max="11274" width="3.140625" style="16" customWidth="1"/>
    <col min="11275" max="11276" width="9.140625" style="16"/>
    <col min="11277" max="11277" width="10.140625" style="16" customWidth="1"/>
    <col min="11278" max="11520" width="9.140625" style="16"/>
    <col min="11521" max="11521" width="4.42578125" style="16" customWidth="1"/>
    <col min="11522" max="11522" width="11.85546875" style="16" customWidth="1"/>
    <col min="11523" max="11523" width="41.28515625" style="16" customWidth="1"/>
    <col min="11524" max="11524" width="15.5703125" style="16" customWidth="1"/>
    <col min="11525" max="11526" width="18" style="16" customWidth="1"/>
    <col min="11527" max="11527" width="15.5703125" style="16" customWidth="1"/>
    <col min="11528" max="11528" width="29.7109375" style="16" customWidth="1"/>
    <col min="11529" max="11529" width="15.7109375" style="16" customWidth="1"/>
    <col min="11530" max="11530" width="3.140625" style="16" customWidth="1"/>
    <col min="11531" max="11532" width="9.140625" style="16"/>
    <col min="11533" max="11533" width="10.140625" style="16" customWidth="1"/>
    <col min="11534" max="11776" width="9.140625" style="16"/>
    <col min="11777" max="11777" width="4.42578125" style="16" customWidth="1"/>
    <col min="11778" max="11778" width="11.85546875" style="16" customWidth="1"/>
    <col min="11779" max="11779" width="41.28515625" style="16" customWidth="1"/>
    <col min="11780" max="11780" width="15.5703125" style="16" customWidth="1"/>
    <col min="11781" max="11782" width="18" style="16" customWidth="1"/>
    <col min="11783" max="11783" width="15.5703125" style="16" customWidth="1"/>
    <col min="11784" max="11784" width="29.7109375" style="16" customWidth="1"/>
    <col min="11785" max="11785" width="15.7109375" style="16" customWidth="1"/>
    <col min="11786" max="11786" width="3.140625" style="16" customWidth="1"/>
    <col min="11787" max="11788" width="9.140625" style="16"/>
    <col min="11789" max="11789" width="10.140625" style="16" customWidth="1"/>
    <col min="11790" max="12032" width="9.140625" style="16"/>
    <col min="12033" max="12033" width="4.42578125" style="16" customWidth="1"/>
    <col min="12034" max="12034" width="11.85546875" style="16" customWidth="1"/>
    <col min="12035" max="12035" width="41.28515625" style="16" customWidth="1"/>
    <col min="12036" max="12036" width="15.5703125" style="16" customWidth="1"/>
    <col min="12037" max="12038" width="18" style="16" customWidth="1"/>
    <col min="12039" max="12039" width="15.5703125" style="16" customWidth="1"/>
    <col min="12040" max="12040" width="29.7109375" style="16" customWidth="1"/>
    <col min="12041" max="12041" width="15.7109375" style="16" customWidth="1"/>
    <col min="12042" max="12042" width="3.140625" style="16" customWidth="1"/>
    <col min="12043" max="12044" width="9.140625" style="16"/>
    <col min="12045" max="12045" width="10.140625" style="16" customWidth="1"/>
    <col min="12046" max="12288" width="9.140625" style="16"/>
    <col min="12289" max="12289" width="4.42578125" style="16" customWidth="1"/>
    <col min="12290" max="12290" width="11.85546875" style="16" customWidth="1"/>
    <col min="12291" max="12291" width="41.28515625" style="16" customWidth="1"/>
    <col min="12292" max="12292" width="15.5703125" style="16" customWidth="1"/>
    <col min="12293" max="12294" width="18" style="16" customWidth="1"/>
    <col min="12295" max="12295" width="15.5703125" style="16" customWidth="1"/>
    <col min="12296" max="12296" width="29.7109375" style="16" customWidth="1"/>
    <col min="12297" max="12297" width="15.7109375" style="16" customWidth="1"/>
    <col min="12298" max="12298" width="3.140625" style="16" customWidth="1"/>
    <col min="12299" max="12300" width="9.140625" style="16"/>
    <col min="12301" max="12301" width="10.140625" style="16" customWidth="1"/>
    <col min="12302" max="12544" width="9.140625" style="16"/>
    <col min="12545" max="12545" width="4.42578125" style="16" customWidth="1"/>
    <col min="12546" max="12546" width="11.85546875" style="16" customWidth="1"/>
    <col min="12547" max="12547" width="41.28515625" style="16" customWidth="1"/>
    <col min="12548" max="12548" width="15.5703125" style="16" customWidth="1"/>
    <col min="12549" max="12550" width="18" style="16" customWidth="1"/>
    <col min="12551" max="12551" width="15.5703125" style="16" customWidth="1"/>
    <col min="12552" max="12552" width="29.7109375" style="16" customWidth="1"/>
    <col min="12553" max="12553" width="15.7109375" style="16" customWidth="1"/>
    <col min="12554" max="12554" width="3.140625" style="16" customWidth="1"/>
    <col min="12555" max="12556" width="9.140625" style="16"/>
    <col min="12557" max="12557" width="10.140625" style="16" customWidth="1"/>
    <col min="12558" max="12800" width="9.140625" style="16"/>
    <col min="12801" max="12801" width="4.42578125" style="16" customWidth="1"/>
    <col min="12802" max="12802" width="11.85546875" style="16" customWidth="1"/>
    <col min="12803" max="12803" width="41.28515625" style="16" customWidth="1"/>
    <col min="12804" max="12804" width="15.5703125" style="16" customWidth="1"/>
    <col min="12805" max="12806" width="18" style="16" customWidth="1"/>
    <col min="12807" max="12807" width="15.5703125" style="16" customWidth="1"/>
    <col min="12808" max="12808" width="29.7109375" style="16" customWidth="1"/>
    <col min="12809" max="12809" width="15.7109375" style="16" customWidth="1"/>
    <col min="12810" max="12810" width="3.140625" style="16" customWidth="1"/>
    <col min="12811" max="12812" width="9.140625" style="16"/>
    <col min="12813" max="12813" width="10.140625" style="16" customWidth="1"/>
    <col min="12814" max="13056" width="9.140625" style="16"/>
    <col min="13057" max="13057" width="4.42578125" style="16" customWidth="1"/>
    <col min="13058" max="13058" width="11.85546875" style="16" customWidth="1"/>
    <col min="13059" max="13059" width="41.28515625" style="16" customWidth="1"/>
    <col min="13060" max="13060" width="15.5703125" style="16" customWidth="1"/>
    <col min="13061" max="13062" width="18" style="16" customWidth="1"/>
    <col min="13063" max="13063" width="15.5703125" style="16" customWidth="1"/>
    <col min="13064" max="13064" width="29.7109375" style="16" customWidth="1"/>
    <col min="13065" max="13065" width="15.7109375" style="16" customWidth="1"/>
    <col min="13066" max="13066" width="3.140625" style="16" customWidth="1"/>
    <col min="13067" max="13068" width="9.140625" style="16"/>
    <col min="13069" max="13069" width="10.140625" style="16" customWidth="1"/>
    <col min="13070" max="13312" width="9.140625" style="16"/>
    <col min="13313" max="13313" width="4.42578125" style="16" customWidth="1"/>
    <col min="13314" max="13314" width="11.85546875" style="16" customWidth="1"/>
    <col min="13315" max="13315" width="41.28515625" style="16" customWidth="1"/>
    <col min="13316" max="13316" width="15.5703125" style="16" customWidth="1"/>
    <col min="13317" max="13318" width="18" style="16" customWidth="1"/>
    <col min="13319" max="13319" width="15.5703125" style="16" customWidth="1"/>
    <col min="13320" max="13320" width="29.7109375" style="16" customWidth="1"/>
    <col min="13321" max="13321" width="15.7109375" style="16" customWidth="1"/>
    <col min="13322" max="13322" width="3.140625" style="16" customWidth="1"/>
    <col min="13323" max="13324" width="9.140625" style="16"/>
    <col min="13325" max="13325" width="10.140625" style="16" customWidth="1"/>
    <col min="13326" max="13568" width="9.140625" style="16"/>
    <col min="13569" max="13569" width="4.42578125" style="16" customWidth="1"/>
    <col min="13570" max="13570" width="11.85546875" style="16" customWidth="1"/>
    <col min="13571" max="13571" width="41.28515625" style="16" customWidth="1"/>
    <col min="13572" max="13572" width="15.5703125" style="16" customWidth="1"/>
    <col min="13573" max="13574" width="18" style="16" customWidth="1"/>
    <col min="13575" max="13575" width="15.5703125" style="16" customWidth="1"/>
    <col min="13576" max="13576" width="29.7109375" style="16" customWidth="1"/>
    <col min="13577" max="13577" width="15.7109375" style="16" customWidth="1"/>
    <col min="13578" max="13578" width="3.140625" style="16" customWidth="1"/>
    <col min="13579" max="13580" width="9.140625" style="16"/>
    <col min="13581" max="13581" width="10.140625" style="16" customWidth="1"/>
    <col min="13582" max="13824" width="9.140625" style="16"/>
    <col min="13825" max="13825" width="4.42578125" style="16" customWidth="1"/>
    <col min="13826" max="13826" width="11.85546875" style="16" customWidth="1"/>
    <col min="13827" max="13827" width="41.28515625" style="16" customWidth="1"/>
    <col min="13828" max="13828" width="15.5703125" style="16" customWidth="1"/>
    <col min="13829" max="13830" width="18" style="16" customWidth="1"/>
    <col min="13831" max="13831" width="15.5703125" style="16" customWidth="1"/>
    <col min="13832" max="13832" width="29.7109375" style="16" customWidth="1"/>
    <col min="13833" max="13833" width="15.7109375" style="16" customWidth="1"/>
    <col min="13834" max="13834" width="3.140625" style="16" customWidth="1"/>
    <col min="13835" max="13836" width="9.140625" style="16"/>
    <col min="13837" max="13837" width="10.140625" style="16" customWidth="1"/>
    <col min="13838" max="14080" width="9.140625" style="16"/>
    <col min="14081" max="14081" width="4.42578125" style="16" customWidth="1"/>
    <col min="14082" max="14082" width="11.85546875" style="16" customWidth="1"/>
    <col min="14083" max="14083" width="41.28515625" style="16" customWidth="1"/>
    <col min="14084" max="14084" width="15.5703125" style="16" customWidth="1"/>
    <col min="14085" max="14086" width="18" style="16" customWidth="1"/>
    <col min="14087" max="14087" width="15.5703125" style="16" customWidth="1"/>
    <col min="14088" max="14088" width="29.7109375" style="16" customWidth="1"/>
    <col min="14089" max="14089" width="15.7109375" style="16" customWidth="1"/>
    <col min="14090" max="14090" width="3.140625" style="16" customWidth="1"/>
    <col min="14091" max="14092" width="9.140625" style="16"/>
    <col min="14093" max="14093" width="10.140625" style="16" customWidth="1"/>
    <col min="14094" max="14336" width="9.140625" style="16"/>
    <col min="14337" max="14337" width="4.42578125" style="16" customWidth="1"/>
    <col min="14338" max="14338" width="11.85546875" style="16" customWidth="1"/>
    <col min="14339" max="14339" width="41.28515625" style="16" customWidth="1"/>
    <col min="14340" max="14340" width="15.5703125" style="16" customWidth="1"/>
    <col min="14341" max="14342" width="18" style="16" customWidth="1"/>
    <col min="14343" max="14343" width="15.5703125" style="16" customWidth="1"/>
    <col min="14344" max="14344" width="29.7109375" style="16" customWidth="1"/>
    <col min="14345" max="14345" width="15.7109375" style="16" customWidth="1"/>
    <col min="14346" max="14346" width="3.140625" style="16" customWidth="1"/>
    <col min="14347" max="14348" width="9.140625" style="16"/>
    <col min="14349" max="14349" width="10.140625" style="16" customWidth="1"/>
    <col min="14350" max="14592" width="9.140625" style="16"/>
    <col min="14593" max="14593" width="4.42578125" style="16" customWidth="1"/>
    <col min="14594" max="14594" width="11.85546875" style="16" customWidth="1"/>
    <col min="14595" max="14595" width="41.28515625" style="16" customWidth="1"/>
    <col min="14596" max="14596" width="15.5703125" style="16" customWidth="1"/>
    <col min="14597" max="14598" width="18" style="16" customWidth="1"/>
    <col min="14599" max="14599" width="15.5703125" style="16" customWidth="1"/>
    <col min="14600" max="14600" width="29.7109375" style="16" customWidth="1"/>
    <col min="14601" max="14601" width="15.7109375" style="16" customWidth="1"/>
    <col min="14602" max="14602" width="3.140625" style="16" customWidth="1"/>
    <col min="14603" max="14604" width="9.140625" style="16"/>
    <col min="14605" max="14605" width="10.140625" style="16" customWidth="1"/>
    <col min="14606" max="14848" width="9.140625" style="16"/>
    <col min="14849" max="14849" width="4.42578125" style="16" customWidth="1"/>
    <col min="14850" max="14850" width="11.85546875" style="16" customWidth="1"/>
    <col min="14851" max="14851" width="41.28515625" style="16" customWidth="1"/>
    <col min="14852" max="14852" width="15.5703125" style="16" customWidth="1"/>
    <col min="14853" max="14854" width="18" style="16" customWidth="1"/>
    <col min="14855" max="14855" width="15.5703125" style="16" customWidth="1"/>
    <col min="14856" max="14856" width="29.7109375" style="16" customWidth="1"/>
    <col min="14857" max="14857" width="15.7109375" style="16" customWidth="1"/>
    <col min="14858" max="14858" width="3.140625" style="16" customWidth="1"/>
    <col min="14859" max="14860" width="9.140625" style="16"/>
    <col min="14861" max="14861" width="10.140625" style="16" customWidth="1"/>
    <col min="14862" max="15104" width="9.140625" style="16"/>
    <col min="15105" max="15105" width="4.42578125" style="16" customWidth="1"/>
    <col min="15106" max="15106" width="11.85546875" style="16" customWidth="1"/>
    <col min="15107" max="15107" width="41.28515625" style="16" customWidth="1"/>
    <col min="15108" max="15108" width="15.5703125" style="16" customWidth="1"/>
    <col min="15109" max="15110" width="18" style="16" customWidth="1"/>
    <col min="15111" max="15111" width="15.5703125" style="16" customWidth="1"/>
    <col min="15112" max="15112" width="29.7109375" style="16" customWidth="1"/>
    <col min="15113" max="15113" width="15.7109375" style="16" customWidth="1"/>
    <col min="15114" max="15114" width="3.140625" style="16" customWidth="1"/>
    <col min="15115" max="15116" width="9.140625" style="16"/>
    <col min="15117" max="15117" width="10.140625" style="16" customWidth="1"/>
    <col min="15118" max="15360" width="9.140625" style="16"/>
    <col min="15361" max="15361" width="4.42578125" style="16" customWidth="1"/>
    <col min="15362" max="15362" width="11.85546875" style="16" customWidth="1"/>
    <col min="15363" max="15363" width="41.28515625" style="16" customWidth="1"/>
    <col min="15364" max="15364" width="15.5703125" style="16" customWidth="1"/>
    <col min="15365" max="15366" width="18" style="16" customWidth="1"/>
    <col min="15367" max="15367" width="15.5703125" style="16" customWidth="1"/>
    <col min="15368" max="15368" width="29.7109375" style="16" customWidth="1"/>
    <col min="15369" max="15369" width="15.7109375" style="16" customWidth="1"/>
    <col min="15370" max="15370" width="3.140625" style="16" customWidth="1"/>
    <col min="15371" max="15372" width="9.140625" style="16"/>
    <col min="15373" max="15373" width="10.140625" style="16" customWidth="1"/>
    <col min="15374" max="15616" width="9.140625" style="16"/>
    <col min="15617" max="15617" width="4.42578125" style="16" customWidth="1"/>
    <col min="15618" max="15618" width="11.85546875" style="16" customWidth="1"/>
    <col min="15619" max="15619" width="41.28515625" style="16" customWidth="1"/>
    <col min="15620" max="15620" width="15.5703125" style="16" customWidth="1"/>
    <col min="15621" max="15622" width="18" style="16" customWidth="1"/>
    <col min="15623" max="15623" width="15.5703125" style="16" customWidth="1"/>
    <col min="15624" max="15624" width="29.7109375" style="16" customWidth="1"/>
    <col min="15625" max="15625" width="15.7109375" style="16" customWidth="1"/>
    <col min="15626" max="15626" width="3.140625" style="16" customWidth="1"/>
    <col min="15627" max="15628" width="9.140625" style="16"/>
    <col min="15629" max="15629" width="10.140625" style="16" customWidth="1"/>
    <col min="15630" max="15872" width="9.140625" style="16"/>
    <col min="15873" max="15873" width="4.42578125" style="16" customWidth="1"/>
    <col min="15874" max="15874" width="11.85546875" style="16" customWidth="1"/>
    <col min="15875" max="15875" width="41.28515625" style="16" customWidth="1"/>
    <col min="15876" max="15876" width="15.5703125" style="16" customWidth="1"/>
    <col min="15877" max="15878" width="18" style="16" customWidth="1"/>
    <col min="15879" max="15879" width="15.5703125" style="16" customWidth="1"/>
    <col min="15880" max="15880" width="29.7109375" style="16" customWidth="1"/>
    <col min="15881" max="15881" width="15.7109375" style="16" customWidth="1"/>
    <col min="15882" max="15882" width="3.140625" style="16" customWidth="1"/>
    <col min="15883" max="15884" width="9.140625" style="16"/>
    <col min="15885" max="15885" width="10.140625" style="16" customWidth="1"/>
    <col min="15886" max="16128" width="9.140625" style="16"/>
    <col min="16129" max="16129" width="4.42578125" style="16" customWidth="1"/>
    <col min="16130" max="16130" width="11.85546875" style="16" customWidth="1"/>
    <col min="16131" max="16131" width="41.28515625" style="16" customWidth="1"/>
    <col min="16132" max="16132" width="15.5703125" style="16" customWidth="1"/>
    <col min="16133" max="16134" width="18" style="16" customWidth="1"/>
    <col min="16135" max="16135" width="15.5703125" style="16" customWidth="1"/>
    <col min="16136" max="16136" width="29.7109375" style="16" customWidth="1"/>
    <col min="16137" max="16137" width="15.7109375" style="16" customWidth="1"/>
    <col min="16138" max="16138" width="3.140625" style="16" customWidth="1"/>
    <col min="16139" max="16140" width="9.140625" style="16"/>
    <col min="16141" max="16141" width="10.140625" style="16" customWidth="1"/>
    <col min="16142" max="16384" width="9.140625" style="16"/>
  </cols>
  <sheetData>
    <row r="1" spans="2:13" ht="30" customHeight="1">
      <c r="D1" s="649"/>
      <c r="E1" s="649"/>
      <c r="F1" s="649"/>
      <c r="I1" s="790" t="s">
        <v>26</v>
      </c>
    </row>
    <row r="2" spans="2:13" ht="26.25" customHeight="1">
      <c r="C2" s="677"/>
      <c r="D2" s="649"/>
      <c r="E2" s="649"/>
      <c r="F2" s="649"/>
      <c r="L2" s="677"/>
      <c r="M2" s="538"/>
    </row>
    <row r="3" spans="2:13" s="651" customFormat="1" ht="33.75" customHeight="1">
      <c r="B3" s="791" t="s">
        <v>636</v>
      </c>
      <c r="C3" s="678" t="s">
        <v>655</v>
      </c>
      <c r="D3" s="678"/>
      <c r="E3" s="678"/>
      <c r="F3" s="678"/>
      <c r="G3" s="678"/>
      <c r="H3" s="678"/>
      <c r="J3" s="652"/>
    </row>
    <row r="4" spans="2:13" s="646" customFormat="1" ht="26.25" customHeight="1">
      <c r="B4" s="646" t="s">
        <v>637</v>
      </c>
      <c r="C4" s="650">
        <v>2015</v>
      </c>
      <c r="D4" s="649"/>
      <c r="E4" s="649"/>
      <c r="F4" s="649"/>
    </row>
    <row r="5" spans="2:13" ht="14.25" customHeight="1">
      <c r="B5" s="646"/>
      <c r="C5" s="646"/>
      <c r="D5" s="649"/>
      <c r="E5" s="649"/>
      <c r="F5" s="649"/>
    </row>
    <row r="6" spans="2:13" s="753" customFormat="1" ht="41.25" customHeight="1">
      <c r="B6" s="1604" t="s">
        <v>638</v>
      </c>
      <c r="C6" s="1604"/>
      <c r="D6" s="1604"/>
      <c r="E6" s="1604"/>
      <c r="F6" s="1604"/>
      <c r="G6" s="1604"/>
      <c r="H6" s="1604"/>
      <c r="I6" s="1604"/>
    </row>
    <row r="7" spans="2:13" ht="31.5" customHeight="1" thickBot="1">
      <c r="B7" s="646"/>
      <c r="C7" s="679"/>
      <c r="D7" s="679"/>
      <c r="E7" s="679"/>
      <c r="F7" s="679"/>
      <c r="G7" s="679"/>
      <c r="H7" s="679"/>
    </row>
    <row r="8" spans="2:13" s="646" customFormat="1" ht="25.5" customHeight="1">
      <c r="B8" s="1472" t="s">
        <v>639</v>
      </c>
      <c r="C8" s="1481"/>
      <c r="D8" s="1481"/>
      <c r="E8" s="1481"/>
      <c r="F8" s="1481"/>
      <c r="G8" s="1481"/>
      <c r="H8" s="1481"/>
      <c r="I8" s="1482"/>
      <c r="J8" s="738"/>
    </row>
    <row r="9" spans="2:13" ht="15.75" customHeight="1" thickBot="1">
      <c r="B9" s="681"/>
      <c r="C9" s="682"/>
      <c r="D9" s="682"/>
      <c r="E9" s="682"/>
      <c r="F9" s="682"/>
      <c r="G9" s="682"/>
      <c r="H9" s="682"/>
      <c r="I9" s="683" t="s">
        <v>640</v>
      </c>
      <c r="J9" s="684"/>
    </row>
    <row r="10" spans="2:13" s="538" customFormat="1" ht="27.75" customHeight="1">
      <c r="B10" s="1472" t="s">
        <v>582</v>
      </c>
      <c r="C10" s="1481"/>
      <c r="D10" s="1599" t="s">
        <v>583</v>
      </c>
      <c r="E10" s="1600"/>
      <c r="F10" s="1601" t="s">
        <v>584</v>
      </c>
      <c r="G10" s="1599" t="s">
        <v>641</v>
      </c>
      <c r="H10" s="1600"/>
      <c r="I10" s="1482" t="s">
        <v>5</v>
      </c>
      <c r="J10" s="749"/>
    </row>
    <row r="11" spans="2:13" s="538" customFormat="1" ht="82.5" customHeight="1" thickBot="1">
      <c r="B11" s="1483"/>
      <c r="C11" s="1484"/>
      <c r="D11" s="750" t="s">
        <v>1</v>
      </c>
      <c r="E11" s="751" t="s">
        <v>2</v>
      </c>
      <c r="F11" s="1602"/>
      <c r="G11" s="750" t="s">
        <v>656</v>
      </c>
      <c r="H11" s="752" t="s">
        <v>642</v>
      </c>
      <c r="I11" s="1603"/>
      <c r="J11" s="733"/>
    </row>
    <row r="12" spans="2:13" ht="27" customHeight="1" thickBot="1">
      <c r="B12" s="584" t="s">
        <v>643</v>
      </c>
      <c r="C12" s="685" t="s">
        <v>588</v>
      </c>
      <c r="D12" s="584">
        <v>1</v>
      </c>
      <c r="E12" s="686">
        <v>2</v>
      </c>
      <c r="F12" s="687">
        <v>3</v>
      </c>
      <c r="G12" s="688">
        <v>4</v>
      </c>
      <c r="H12" s="686">
        <v>5</v>
      </c>
      <c r="I12" s="689" t="s">
        <v>644</v>
      </c>
      <c r="J12" s="690"/>
      <c r="K12" s="17"/>
    </row>
    <row r="13" spans="2:13" s="691" customFormat="1" ht="18" customHeight="1" thickBot="1">
      <c r="B13" s="1613" t="s">
        <v>592</v>
      </c>
      <c r="C13" s="1614"/>
      <c r="D13" s="1614"/>
      <c r="E13" s="1614"/>
      <c r="F13" s="1614"/>
      <c r="G13" s="1614"/>
      <c r="H13" s="1614"/>
      <c r="I13" s="1615"/>
      <c r="J13" s="680"/>
    </row>
    <row r="14" spans="2:13" ht="15.2" customHeight="1">
      <c r="B14" s="692"/>
      <c r="C14" s="693"/>
      <c r="D14" s="694"/>
      <c r="E14" s="695"/>
      <c r="F14" s="696"/>
      <c r="G14" s="694"/>
      <c r="H14" s="697"/>
      <c r="I14" s="698"/>
      <c r="J14" s="18"/>
    </row>
    <row r="15" spans="2:13" ht="15.2" customHeight="1" thickBot="1">
      <c r="B15" s="699"/>
      <c r="C15" s="700"/>
      <c r="D15" s="701"/>
      <c r="E15" s="702"/>
      <c r="F15" s="703"/>
      <c r="G15" s="701"/>
      <c r="H15" s="704"/>
      <c r="I15" s="698"/>
      <c r="J15" s="18"/>
    </row>
    <row r="16" spans="2:13" s="520" customFormat="1" ht="29.25" customHeight="1" thickBot="1">
      <c r="B16" s="1613" t="s">
        <v>595</v>
      </c>
      <c r="C16" s="1614"/>
      <c r="D16" s="1614"/>
      <c r="E16" s="1614"/>
      <c r="F16" s="1614"/>
      <c r="G16" s="1614"/>
      <c r="H16" s="1614"/>
      <c r="I16" s="1615"/>
      <c r="J16" s="680"/>
    </row>
    <row r="17" spans="2:11" s="506" customFormat="1" ht="20.100000000000001" customHeight="1">
      <c r="B17" s="705" t="s">
        <v>596</v>
      </c>
      <c r="C17" s="706" t="s">
        <v>597</v>
      </c>
      <c r="D17" s="772">
        <v>573.45500000000004</v>
      </c>
      <c r="E17" s="773">
        <v>3608438.5819999999</v>
      </c>
      <c r="F17" s="774">
        <v>962780.80665000004</v>
      </c>
      <c r="G17" s="772">
        <v>0</v>
      </c>
      <c r="H17" s="760"/>
      <c r="I17" s="761">
        <f>(F17-H17)/E17</f>
        <v>0.26681368818431506</v>
      </c>
      <c r="J17" s="648"/>
    </row>
    <row r="18" spans="2:11" s="506" customFormat="1" ht="20.100000000000001" customHeight="1">
      <c r="B18" s="707" t="s">
        <v>598</v>
      </c>
      <c r="C18" s="706" t="s">
        <v>599</v>
      </c>
      <c r="D18" s="775">
        <v>176681.954</v>
      </c>
      <c r="E18" s="776">
        <v>160435.12299999999</v>
      </c>
      <c r="F18" s="777">
        <v>111109.02684000001</v>
      </c>
      <c r="G18" s="775">
        <v>0</v>
      </c>
      <c r="H18" s="763"/>
      <c r="I18" s="761">
        <f>(F18-H18)/E18</f>
        <v>0.69254802042318386</v>
      </c>
      <c r="J18" s="648"/>
    </row>
    <row r="19" spans="2:11" s="506" customFormat="1" ht="20.100000000000001" customHeight="1">
      <c r="B19" s="707" t="s">
        <v>600</v>
      </c>
      <c r="C19" s="706" t="s">
        <v>601</v>
      </c>
      <c r="D19" s="775">
        <v>864.25</v>
      </c>
      <c r="E19" s="776">
        <v>864.25</v>
      </c>
      <c r="F19" s="777">
        <v>6247.5064499999999</v>
      </c>
      <c r="G19" s="775">
        <v>0</v>
      </c>
      <c r="H19" s="763"/>
      <c r="I19" s="761">
        <f>(F19-H19)/E19</f>
        <v>7.2288185710153314</v>
      </c>
      <c r="J19" s="648"/>
    </row>
    <row r="20" spans="2:11" s="506" customFormat="1" ht="20.100000000000001" customHeight="1">
      <c r="B20" s="707" t="s">
        <v>602</v>
      </c>
      <c r="C20" s="706" t="s">
        <v>603</v>
      </c>
      <c r="D20" s="775">
        <v>0</v>
      </c>
      <c r="E20" s="776">
        <v>809.86699999999996</v>
      </c>
      <c r="F20" s="777">
        <v>452.46332999999998</v>
      </c>
      <c r="G20" s="775">
        <v>0</v>
      </c>
      <c r="H20" s="763"/>
      <c r="I20" s="761">
        <f>(F20-H20)/E20</f>
        <v>0.55868843896590425</v>
      </c>
      <c r="J20" s="648"/>
    </row>
    <row r="21" spans="2:11" s="506" customFormat="1" ht="20.100000000000001" customHeight="1" thickBot="1">
      <c r="B21" s="707" t="s">
        <v>604</v>
      </c>
      <c r="C21" s="706" t="s">
        <v>605</v>
      </c>
      <c r="D21" s="775">
        <v>6655.6270000000004</v>
      </c>
      <c r="E21" s="776">
        <v>6655.6270000000004</v>
      </c>
      <c r="F21" s="777">
        <v>184089.86595000001</v>
      </c>
      <c r="G21" s="775">
        <v>0</v>
      </c>
      <c r="H21" s="763"/>
      <c r="I21" s="761">
        <f>(F21-H21)/E21</f>
        <v>27.65928228099321</v>
      </c>
      <c r="J21" s="648"/>
    </row>
    <row r="22" spans="2:11" s="658" customFormat="1" ht="20.100000000000001" customHeight="1" thickBot="1">
      <c r="B22" s="1492" t="s">
        <v>645</v>
      </c>
      <c r="C22" s="1493"/>
      <c r="D22" s="1493"/>
      <c r="E22" s="1493"/>
      <c r="F22" s="1493"/>
      <c r="G22" s="1493"/>
      <c r="H22" s="1493"/>
      <c r="I22" s="1494"/>
      <c r="J22" s="748"/>
    </row>
    <row r="23" spans="2:11" s="506" customFormat="1" ht="20.100000000000001" customHeight="1" thickBot="1">
      <c r="B23" s="707" t="s">
        <v>607</v>
      </c>
      <c r="C23" s="706" t="s">
        <v>608</v>
      </c>
      <c r="D23" s="775">
        <v>1200</v>
      </c>
      <c r="E23" s="776">
        <v>3253.1529999999998</v>
      </c>
      <c r="F23" s="777">
        <v>7573.0995899999998</v>
      </c>
      <c r="G23" s="775">
        <v>6103.8989099999999</v>
      </c>
      <c r="H23" s="759"/>
      <c r="I23" s="761">
        <f>(F23-H23)/E23</f>
        <v>2.3279260428267592</v>
      </c>
      <c r="J23" s="648"/>
    </row>
    <row r="24" spans="2:11" s="658" customFormat="1" ht="20.100000000000001" customHeight="1" thickBot="1">
      <c r="B24" s="1492" t="s">
        <v>646</v>
      </c>
      <c r="C24" s="1493"/>
      <c r="D24" s="1493"/>
      <c r="E24" s="1493"/>
      <c r="F24" s="1493"/>
      <c r="G24" s="1493"/>
      <c r="H24" s="1493"/>
      <c r="I24" s="1494"/>
      <c r="J24" s="748"/>
    </row>
    <row r="25" spans="2:11" s="506" customFormat="1" ht="20.100000000000001" customHeight="1" thickBot="1">
      <c r="B25" s="707" t="s">
        <v>609</v>
      </c>
      <c r="C25" s="706" t="s">
        <v>610</v>
      </c>
      <c r="D25" s="775">
        <v>1750</v>
      </c>
      <c r="E25" s="776">
        <v>1750</v>
      </c>
      <c r="F25" s="777">
        <v>2652.6070300000001</v>
      </c>
      <c r="G25" s="775">
        <v>34.446249999999999</v>
      </c>
      <c r="H25" s="759"/>
      <c r="I25" s="761">
        <f>(F25-H25)/E25</f>
        <v>1.5157754457142858</v>
      </c>
      <c r="J25" s="648"/>
    </row>
    <row r="26" spans="2:11" s="658" customFormat="1" ht="29.25" customHeight="1" thickBot="1">
      <c r="B26" s="1492" t="s">
        <v>612</v>
      </c>
      <c r="C26" s="1493"/>
      <c r="D26" s="1493"/>
      <c r="E26" s="1493"/>
      <c r="F26" s="1493"/>
      <c r="G26" s="1493"/>
      <c r="H26" s="1493"/>
      <c r="I26" s="1494"/>
      <c r="J26" s="748"/>
    </row>
    <row r="27" spans="2:11" s="506" customFormat="1" ht="20.100000000000001" customHeight="1">
      <c r="B27" s="707" t="s">
        <v>616</v>
      </c>
      <c r="C27" s="706" t="s">
        <v>617</v>
      </c>
      <c r="D27" s="775">
        <v>0</v>
      </c>
      <c r="E27" s="776">
        <v>0</v>
      </c>
      <c r="F27" s="777">
        <v>1033.2927999999999</v>
      </c>
      <c r="G27" s="775">
        <v>1033.2927999999999</v>
      </c>
      <c r="H27" s="759"/>
      <c r="I27" s="761"/>
      <c r="J27" s="648"/>
    </row>
    <row r="28" spans="2:11" s="506" customFormat="1" ht="20.100000000000001" customHeight="1">
      <c r="B28" s="764" t="s">
        <v>618</v>
      </c>
      <c r="C28" s="708" t="s">
        <v>619</v>
      </c>
      <c r="D28" s="775">
        <v>422541.88500000001</v>
      </c>
      <c r="E28" s="776">
        <v>420488.73200000002</v>
      </c>
      <c r="F28" s="777">
        <v>0</v>
      </c>
      <c r="G28" s="775">
        <v>0</v>
      </c>
      <c r="H28" s="762"/>
      <c r="I28" s="761">
        <f>(F28-H28)/E28</f>
        <v>0</v>
      </c>
      <c r="J28" s="648"/>
      <c r="K28" s="765"/>
    </row>
    <row r="29" spans="2:11" s="506" customFormat="1" ht="20.100000000000001" customHeight="1" thickBot="1">
      <c r="B29" s="764" t="s">
        <v>614</v>
      </c>
      <c r="C29" s="708" t="s">
        <v>615</v>
      </c>
      <c r="D29" s="775">
        <v>0</v>
      </c>
      <c r="E29" s="776">
        <v>9571.3070000000007</v>
      </c>
      <c r="F29" s="777">
        <v>0</v>
      </c>
      <c r="G29" s="775">
        <v>0</v>
      </c>
      <c r="H29" s="762"/>
      <c r="I29" s="761">
        <f>(F29-H29)/E29</f>
        <v>0</v>
      </c>
      <c r="J29" s="648"/>
    </row>
    <row r="30" spans="2:11" ht="20.25" customHeight="1" thickBot="1">
      <c r="B30" s="1596"/>
      <c r="C30" s="1597"/>
      <c r="D30" s="1597"/>
      <c r="E30" s="1597"/>
      <c r="F30" s="1597"/>
      <c r="G30" s="1597"/>
      <c r="H30" s="1597"/>
      <c r="I30" s="1598"/>
      <c r="J30" s="18"/>
    </row>
    <row r="31" spans="2:11" s="646" customFormat="1" ht="27.75" customHeight="1" thickBot="1">
      <c r="B31" s="1607" t="s">
        <v>647</v>
      </c>
      <c r="C31" s="1608"/>
      <c r="D31" s="709">
        <f>SUM(D33:D37)</f>
        <v>610267.17099999997</v>
      </c>
      <c r="E31" s="710">
        <f>SUM(E33:E37)</f>
        <v>4212266.6409999998</v>
      </c>
      <c r="F31" s="711">
        <f>SUM(F33:F37)</f>
        <v>1275938.66864</v>
      </c>
      <c r="G31" s="709">
        <f>SUM(G33:G37)</f>
        <v>7171.63796</v>
      </c>
      <c r="H31" s="712"/>
      <c r="I31" s="713">
        <f t="shared" ref="I31:I37" si="0">(F31-H31)/E31</f>
        <v>0.30291023275228601</v>
      </c>
      <c r="J31" s="661"/>
    </row>
    <row r="32" spans="2:11" ht="20.100000000000001" customHeight="1">
      <c r="B32" s="1609" t="s">
        <v>534</v>
      </c>
      <c r="C32" s="1610"/>
      <c r="D32" s="714"/>
      <c r="E32" s="715"/>
      <c r="F32" s="716"/>
      <c r="G32" s="717"/>
      <c r="H32" s="718"/>
      <c r="I32" s="719"/>
      <c r="J32" s="18"/>
    </row>
    <row r="33" spans="2:19" s="506" customFormat="1" ht="20.100000000000001" customHeight="1">
      <c r="B33" s="1611" t="s">
        <v>648</v>
      </c>
      <c r="C33" s="1612"/>
      <c r="D33" s="720"/>
      <c r="E33" s="721"/>
      <c r="F33" s="722"/>
      <c r="G33" s="720"/>
      <c r="H33" s="721"/>
      <c r="I33" s="723"/>
      <c r="J33" s="648"/>
    </row>
    <row r="34" spans="2:19" s="506" customFormat="1" ht="20.100000000000001" customHeight="1">
      <c r="B34" s="1611" t="s">
        <v>649</v>
      </c>
      <c r="C34" s="1612"/>
      <c r="D34" s="778">
        <f>SUM(D17:D21)</f>
        <v>184775.28599999999</v>
      </c>
      <c r="E34" s="779">
        <f>SUM(E17:E21)</f>
        <v>3777203.449</v>
      </c>
      <c r="F34" s="778">
        <f>SUM(F17:F21)</f>
        <v>1264679.66922</v>
      </c>
      <c r="G34" s="778">
        <f>SUM(G17:G21)</f>
        <v>0</v>
      </c>
      <c r="H34" s="724"/>
      <c r="I34" s="725">
        <f t="shared" si="0"/>
        <v>0.33481904967412307</v>
      </c>
      <c r="J34" s="648"/>
    </row>
    <row r="35" spans="2:19" s="506" customFormat="1" ht="20.100000000000001" customHeight="1">
      <c r="B35" s="1611" t="s">
        <v>650</v>
      </c>
      <c r="C35" s="1612"/>
      <c r="D35" s="778">
        <f>SUM(D27:D29)</f>
        <v>422541.88500000001</v>
      </c>
      <c r="E35" s="779">
        <f>SUM(E27:E29)</f>
        <v>430060.03899999999</v>
      </c>
      <c r="F35" s="778">
        <f>SUM(F27:F29)</f>
        <v>1033.2927999999999</v>
      </c>
      <c r="G35" s="778">
        <f>SUM(G27:G29)</f>
        <v>1033.2927999999999</v>
      </c>
      <c r="H35" s="724"/>
      <c r="I35" s="725">
        <f t="shared" si="0"/>
        <v>2.4026710372874239E-3</v>
      </c>
      <c r="J35" s="648"/>
    </row>
    <row r="36" spans="2:19" s="506" customFormat="1" ht="20.100000000000001" customHeight="1">
      <c r="B36" s="1611" t="s">
        <v>651</v>
      </c>
      <c r="C36" s="1612"/>
      <c r="D36" s="780">
        <f>SUM(D23:D23)</f>
        <v>1200</v>
      </c>
      <c r="E36" s="781">
        <f>SUM(E23:E23)</f>
        <v>3253.1529999999998</v>
      </c>
      <c r="F36" s="780">
        <f>SUM(F23:F23)</f>
        <v>7573.0995899999998</v>
      </c>
      <c r="G36" s="780">
        <f>SUM(G23:G23)</f>
        <v>6103.8989099999999</v>
      </c>
      <c r="H36" s="726"/>
      <c r="I36" s="725">
        <f t="shared" si="0"/>
        <v>2.3279260428267592</v>
      </c>
      <c r="J36" s="648"/>
    </row>
    <row r="37" spans="2:19" s="506" customFormat="1" ht="20.100000000000001" customHeight="1" thickBot="1">
      <c r="B37" s="1605" t="s">
        <v>652</v>
      </c>
      <c r="C37" s="1606"/>
      <c r="D37" s="782">
        <f>SUM(D25:D25)</f>
        <v>1750</v>
      </c>
      <c r="E37" s="783">
        <f>SUM(E25:E25)</f>
        <v>1750</v>
      </c>
      <c r="F37" s="782">
        <f>SUM(F25:F25)</f>
        <v>2652.6070300000001</v>
      </c>
      <c r="G37" s="782">
        <f>SUM(G25:G25)</f>
        <v>34.446249999999999</v>
      </c>
      <c r="H37" s="727"/>
      <c r="I37" s="728">
        <f t="shared" si="0"/>
        <v>1.5157754457142858</v>
      </c>
      <c r="J37" s="648"/>
    </row>
    <row r="38" spans="2:19" ht="10.5" customHeight="1">
      <c r="C38" s="661"/>
      <c r="D38" s="729"/>
      <c r="E38" s="729"/>
      <c r="F38" s="729"/>
      <c r="G38" s="18"/>
      <c r="H38" s="18"/>
    </row>
    <row r="39" spans="2:19" ht="6.75" customHeight="1" thickBot="1">
      <c r="C39" s="730"/>
      <c r="D39" s="731"/>
      <c r="E39" s="731"/>
      <c r="F39" s="731"/>
      <c r="G39" s="731"/>
      <c r="H39" s="731"/>
      <c r="I39" s="731"/>
      <c r="J39" s="731"/>
      <c r="K39" s="731"/>
      <c r="L39" s="731"/>
      <c r="M39" s="731"/>
      <c r="N39" s="731"/>
      <c r="O39" s="731"/>
      <c r="P39" s="731"/>
      <c r="Q39" s="732"/>
      <c r="R39" s="732"/>
      <c r="S39" s="732"/>
    </row>
    <row r="40" spans="2:19" s="747" customFormat="1" ht="26.25" customHeight="1">
      <c r="B40" s="1472" t="s">
        <v>653</v>
      </c>
      <c r="C40" s="1481"/>
      <c r="D40" s="1481"/>
      <c r="E40" s="1481"/>
      <c r="F40" s="1481"/>
      <c r="G40" s="1481"/>
      <c r="H40" s="1481"/>
      <c r="I40" s="1482"/>
      <c r="J40" s="749"/>
    </row>
    <row r="41" spans="2:19" s="747" customFormat="1" ht="15.75" customHeight="1" thickBot="1">
      <c r="B41" s="754"/>
      <c r="C41" s="755"/>
      <c r="D41" s="755"/>
      <c r="E41" s="755"/>
      <c r="F41" s="755"/>
      <c r="G41" s="755"/>
      <c r="H41" s="755"/>
      <c r="I41" s="756" t="s">
        <v>640</v>
      </c>
      <c r="J41" s="757"/>
    </row>
    <row r="42" spans="2:19" s="747" customFormat="1" ht="26.25" customHeight="1" thickBot="1">
      <c r="B42" s="1472" t="s">
        <v>627</v>
      </c>
      <c r="C42" s="1482"/>
      <c r="D42" s="1478" t="s">
        <v>583</v>
      </c>
      <c r="E42" s="1480"/>
      <c r="F42" s="1481" t="s">
        <v>584</v>
      </c>
      <c r="G42" s="1478" t="s">
        <v>641</v>
      </c>
      <c r="H42" s="1480"/>
      <c r="I42" s="1482" t="s">
        <v>5</v>
      </c>
      <c r="J42" s="749"/>
      <c r="K42" s="1616"/>
      <c r="L42" s="1616"/>
      <c r="M42" s="1616"/>
      <c r="N42" s="1616"/>
      <c r="O42" s="1616"/>
      <c r="P42" s="1616"/>
      <c r="Q42" s="1616"/>
      <c r="R42" s="1616"/>
      <c r="S42" s="1616"/>
    </row>
    <row r="43" spans="2:19" s="747" customFormat="1" ht="82.5" customHeight="1" thickBot="1">
      <c r="B43" s="1483"/>
      <c r="C43" s="1485"/>
      <c r="D43" s="758" t="s">
        <v>1</v>
      </c>
      <c r="E43" s="752" t="s">
        <v>2</v>
      </c>
      <c r="F43" s="1484"/>
      <c r="G43" s="758" t="s">
        <v>656</v>
      </c>
      <c r="H43" s="752" t="s">
        <v>642</v>
      </c>
      <c r="I43" s="1485"/>
      <c r="J43" s="749"/>
      <c r="K43" s="1616"/>
      <c r="L43" s="1616"/>
      <c r="M43" s="1616"/>
      <c r="N43" s="1616"/>
      <c r="O43" s="1616"/>
      <c r="P43" s="1616"/>
      <c r="Q43" s="1616"/>
      <c r="R43" s="1616"/>
      <c r="S43" s="1616"/>
    </row>
    <row r="44" spans="2:19" ht="27" customHeight="1" thickBot="1">
      <c r="B44" s="584" t="s">
        <v>643</v>
      </c>
      <c r="C44" s="734" t="s">
        <v>588</v>
      </c>
      <c r="D44" s="735">
        <v>1</v>
      </c>
      <c r="E44" s="736">
        <v>2</v>
      </c>
      <c r="F44" s="680">
        <v>3</v>
      </c>
      <c r="G44" s="512">
        <v>4</v>
      </c>
      <c r="H44" s="736">
        <v>5</v>
      </c>
      <c r="I44" s="737" t="s">
        <v>644</v>
      </c>
      <c r="J44" s="690"/>
      <c r="K44" s="738"/>
      <c r="L44" s="738"/>
      <c r="M44" s="738"/>
      <c r="N44" s="738"/>
      <c r="O44" s="738"/>
      <c r="P44" s="738"/>
      <c r="Q44" s="738"/>
      <c r="R44" s="738"/>
      <c r="S44" s="738"/>
    </row>
    <row r="45" spans="2:19" s="506" customFormat="1" ht="20.100000000000001" customHeight="1">
      <c r="B45" s="739">
        <v>6002</v>
      </c>
      <c r="C45" s="740" t="s">
        <v>629</v>
      </c>
      <c r="D45" s="784">
        <v>28314.561000000002</v>
      </c>
      <c r="E45" s="785">
        <v>28314.561000000002</v>
      </c>
      <c r="F45" s="786">
        <v>44052.197829999997</v>
      </c>
      <c r="G45" s="766"/>
      <c r="H45" s="767"/>
      <c r="I45" s="768">
        <f>(F45-H45)/E45</f>
        <v>1.5558142621388336</v>
      </c>
      <c r="J45" s="748"/>
      <c r="K45" s="769"/>
      <c r="L45" s="769"/>
      <c r="M45" s="769"/>
      <c r="N45" s="769"/>
      <c r="O45" s="769"/>
      <c r="P45" s="769"/>
      <c r="Q45" s="769"/>
      <c r="R45" s="769"/>
      <c r="S45" s="769"/>
    </row>
    <row r="46" spans="2:19" s="506" customFormat="1" ht="20.100000000000001" customHeight="1" thickBot="1">
      <c r="B46" s="741" t="s">
        <v>630</v>
      </c>
      <c r="C46" s="742" t="s">
        <v>631</v>
      </c>
      <c r="D46" s="787">
        <v>145384.72500000001</v>
      </c>
      <c r="E46" s="788">
        <v>145384.72500000001</v>
      </c>
      <c r="F46" s="789">
        <v>282.07499999999999</v>
      </c>
      <c r="G46" s="770"/>
      <c r="H46" s="771"/>
      <c r="I46" s="761">
        <f>(F46-H46)/E46</f>
        <v>1.940196949851506E-3</v>
      </c>
      <c r="J46" s="748"/>
      <c r="K46" s="769"/>
      <c r="L46" s="769"/>
      <c r="M46" s="769"/>
      <c r="N46" s="769"/>
      <c r="O46" s="769"/>
      <c r="P46" s="769"/>
      <c r="Q46" s="769"/>
      <c r="R46" s="769"/>
      <c r="S46" s="769"/>
    </row>
    <row r="47" spans="2:19" s="646" customFormat="1" ht="28.5" customHeight="1" thickBot="1">
      <c r="B47" s="1617" t="s">
        <v>647</v>
      </c>
      <c r="C47" s="1618"/>
      <c r="D47" s="709">
        <f>SUM(D45:D46)</f>
        <v>173699.28600000002</v>
      </c>
      <c r="E47" s="710">
        <f>SUM(E45:E46)</f>
        <v>173699.28600000002</v>
      </c>
      <c r="F47" s="743">
        <f>SUM(F45:F46)</f>
        <v>44334.272829999994</v>
      </c>
      <c r="G47" s="744">
        <f>SUM(G45:G46)</f>
        <v>0</v>
      </c>
      <c r="H47" s="745">
        <f>SUM(H45:H46)</f>
        <v>0</v>
      </c>
      <c r="I47" s="746">
        <f>(F47-H47)/E47</f>
        <v>0.25523578047407741</v>
      </c>
      <c r="J47" s="731"/>
      <c r="K47" s="731"/>
      <c r="L47" s="731"/>
      <c r="M47" s="731"/>
      <c r="N47" s="731"/>
      <c r="O47" s="731"/>
      <c r="P47" s="731"/>
      <c r="Q47" s="732"/>
      <c r="R47" s="732"/>
      <c r="S47" s="732"/>
    </row>
    <row r="48" spans="2:19" ht="42" customHeight="1">
      <c r="B48" s="1619" t="s">
        <v>654</v>
      </c>
      <c r="C48" s="1619"/>
      <c r="D48" s="1619"/>
      <c r="E48" s="645"/>
    </row>
    <row r="49" spans="2:9" ht="13.5" customHeight="1">
      <c r="B49" s="1620"/>
      <c r="C49" s="1620"/>
      <c r="D49" s="1620"/>
      <c r="E49" s="646" t="s">
        <v>633</v>
      </c>
      <c r="F49" s="646"/>
      <c r="G49" s="647"/>
      <c r="H49" s="1621" t="s">
        <v>215</v>
      </c>
      <c r="I49" s="1621"/>
    </row>
    <row r="50" spans="2:9" ht="18.75" customHeight="1">
      <c r="B50" s="646" t="s">
        <v>660</v>
      </c>
      <c r="G50" s="645"/>
    </row>
    <row r="51" spans="2:9" ht="20.100000000000001" customHeight="1"/>
    <row r="52" spans="2:9" ht="20.100000000000001" customHeight="1"/>
    <row r="53" spans="2:9" ht="20.100000000000001" customHeight="1"/>
    <row r="54" spans="2:9" ht="20.100000000000001" customHeight="1"/>
    <row r="55" spans="2:9" ht="20.100000000000001" customHeight="1"/>
    <row r="56" spans="2:9" ht="20.100000000000001" customHeight="1"/>
    <row r="57" spans="2:9" ht="20.100000000000001" customHeight="1"/>
    <row r="58" spans="2:9" ht="20.100000000000001" customHeight="1"/>
  </sheetData>
  <mergeCells count="32">
    <mergeCell ref="K42:M43"/>
    <mergeCell ref="N42:P43"/>
    <mergeCell ref="Q42:S43"/>
    <mergeCell ref="B47:C47"/>
    <mergeCell ref="B48:D49"/>
    <mergeCell ref="H49:I49"/>
    <mergeCell ref="B6:I6"/>
    <mergeCell ref="B37:C37"/>
    <mergeCell ref="B40:I40"/>
    <mergeCell ref="B42:C43"/>
    <mergeCell ref="D42:E42"/>
    <mergeCell ref="F42:F43"/>
    <mergeCell ref="G42:H42"/>
    <mergeCell ref="I42:I43"/>
    <mergeCell ref="B31:C31"/>
    <mergeCell ref="B32:C32"/>
    <mergeCell ref="B33:C33"/>
    <mergeCell ref="B34:C34"/>
    <mergeCell ref="B35:C35"/>
    <mergeCell ref="B36:C36"/>
    <mergeCell ref="B13:I13"/>
    <mergeCell ref="B16:I16"/>
    <mergeCell ref="B22:I22"/>
    <mergeCell ref="B24:I24"/>
    <mergeCell ref="B26:I26"/>
    <mergeCell ref="B30:I30"/>
    <mergeCell ref="B8:I8"/>
    <mergeCell ref="B10:C11"/>
    <mergeCell ref="D10:E10"/>
    <mergeCell ref="F10:F11"/>
    <mergeCell ref="G10:H10"/>
    <mergeCell ref="I10:I11"/>
  </mergeCells>
  <printOptions horizontalCentered="1"/>
  <pageMargins left="0.94488188976377963" right="0.9055118110236221" top="0.98425196850393704" bottom="0.98425196850393704" header="0.51181102362204722" footer="0.31496062992125984"/>
  <pageSetup paperSize="9" scale="50" orientation="portrait" r:id="rId1"/>
  <headerFooter alignWithMargins="0">
    <oddFooter xml:space="preserve">&amp;C&amp;14&amp;P+32
</oddFooter>
  </headerFooter>
  <colBreaks count="1" manualBreakCount="1">
    <brk id="10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B1:AE40"/>
  <sheetViews>
    <sheetView topLeftCell="A7" zoomScale="75" workbookViewId="0">
      <selection activeCell="V22" sqref="V22:Y22"/>
    </sheetView>
  </sheetViews>
  <sheetFormatPr defaultRowHeight="23.25"/>
  <cols>
    <col min="1" max="1" width="1.85546875" style="79" customWidth="1"/>
    <col min="2" max="2" width="4.7109375" style="78" customWidth="1"/>
    <col min="3" max="3" width="2" style="79" customWidth="1"/>
    <col min="4" max="4" width="10" style="79" customWidth="1"/>
    <col min="5" max="5" width="8.140625" style="79" customWidth="1"/>
    <col min="6" max="6" width="10.5703125" style="79" customWidth="1"/>
    <col min="7" max="7" width="8.7109375" style="79" customWidth="1"/>
    <col min="8" max="8" width="3.7109375" style="79" customWidth="1"/>
    <col min="9" max="9" width="13.140625" style="79" customWidth="1"/>
    <col min="10" max="10" width="14.28515625" style="79" customWidth="1"/>
    <col min="11" max="11" width="3.7109375" style="79" customWidth="1"/>
    <col min="12" max="12" width="2.28515625" style="79" hidden="1" customWidth="1"/>
    <col min="13" max="14" width="20" style="79" customWidth="1"/>
    <col min="15" max="15" width="2.140625" style="79" customWidth="1"/>
    <col min="16" max="16" width="13.28515625" customWidth="1"/>
    <col min="17" max="17" width="13.85546875" style="79" customWidth="1"/>
    <col min="18" max="18" width="2.5703125" style="186" customWidth="1"/>
    <col min="19" max="19" width="12.7109375" style="79" customWidth="1"/>
    <col min="20" max="20" width="13.140625" style="79" customWidth="1"/>
    <col min="21" max="21" width="2.85546875" style="79" customWidth="1"/>
    <col min="22" max="22" width="5.5703125" style="79" customWidth="1"/>
    <col min="23" max="23" width="8.28515625" style="79" customWidth="1"/>
    <col min="24" max="24" width="11.140625" style="79" customWidth="1"/>
    <col min="25" max="25" width="12.28515625" style="79" customWidth="1"/>
    <col min="26" max="26" width="2.7109375" style="79" customWidth="1"/>
    <col min="27" max="27" width="8.28515625" style="84" customWidth="1"/>
    <col min="28" max="28" width="7.42578125" style="84" customWidth="1"/>
    <col min="29" max="29" width="8.42578125" style="84" customWidth="1"/>
    <col min="30" max="30" width="12.140625" style="84" customWidth="1"/>
    <col min="31" max="31" width="4" style="79" customWidth="1"/>
    <col min="32" max="256" width="9.140625" style="79"/>
    <col min="257" max="257" width="1.85546875" style="79" customWidth="1"/>
    <col min="258" max="258" width="4.7109375" style="79" customWidth="1"/>
    <col min="259" max="259" width="2" style="79" customWidth="1"/>
    <col min="260" max="260" width="10" style="79" customWidth="1"/>
    <col min="261" max="261" width="8.140625" style="79" customWidth="1"/>
    <col min="262" max="262" width="10.5703125" style="79" customWidth="1"/>
    <col min="263" max="263" width="8.7109375" style="79" customWidth="1"/>
    <col min="264" max="264" width="3.7109375" style="79" customWidth="1"/>
    <col min="265" max="265" width="13.140625" style="79" customWidth="1"/>
    <col min="266" max="266" width="14.28515625" style="79" customWidth="1"/>
    <col min="267" max="267" width="3.7109375" style="79" customWidth="1"/>
    <col min="268" max="268" width="0" style="79" hidden="1" customWidth="1"/>
    <col min="269" max="270" width="20" style="79" customWidth="1"/>
    <col min="271" max="271" width="2.140625" style="79" customWidth="1"/>
    <col min="272" max="272" width="13.28515625" style="79" customWidth="1"/>
    <col min="273" max="273" width="13.85546875" style="79" customWidth="1"/>
    <col min="274" max="274" width="2.5703125" style="79" customWidth="1"/>
    <col min="275" max="275" width="12.7109375" style="79" customWidth="1"/>
    <col min="276" max="276" width="13.140625" style="79" customWidth="1"/>
    <col min="277" max="277" width="2.85546875" style="79" customWidth="1"/>
    <col min="278" max="278" width="5.5703125" style="79" customWidth="1"/>
    <col min="279" max="279" width="8.28515625" style="79" customWidth="1"/>
    <col min="280" max="280" width="11.140625" style="79" customWidth="1"/>
    <col min="281" max="281" width="12.28515625" style="79" customWidth="1"/>
    <col min="282" max="282" width="2.7109375" style="79" customWidth="1"/>
    <col min="283" max="283" width="8.28515625" style="79" customWidth="1"/>
    <col min="284" max="284" width="7.42578125" style="79" customWidth="1"/>
    <col min="285" max="285" width="8.42578125" style="79" customWidth="1"/>
    <col min="286" max="286" width="12.140625" style="79" customWidth="1"/>
    <col min="287" max="287" width="4" style="79" customWidth="1"/>
    <col min="288" max="512" width="9.140625" style="79"/>
    <col min="513" max="513" width="1.85546875" style="79" customWidth="1"/>
    <col min="514" max="514" width="4.7109375" style="79" customWidth="1"/>
    <col min="515" max="515" width="2" style="79" customWidth="1"/>
    <col min="516" max="516" width="10" style="79" customWidth="1"/>
    <col min="517" max="517" width="8.140625" style="79" customWidth="1"/>
    <col min="518" max="518" width="10.5703125" style="79" customWidth="1"/>
    <col min="519" max="519" width="8.7109375" style="79" customWidth="1"/>
    <col min="520" max="520" width="3.7109375" style="79" customWidth="1"/>
    <col min="521" max="521" width="13.140625" style="79" customWidth="1"/>
    <col min="522" max="522" width="14.28515625" style="79" customWidth="1"/>
    <col min="523" max="523" width="3.7109375" style="79" customWidth="1"/>
    <col min="524" max="524" width="0" style="79" hidden="1" customWidth="1"/>
    <col min="525" max="526" width="20" style="79" customWidth="1"/>
    <col min="527" max="527" width="2.140625" style="79" customWidth="1"/>
    <col min="528" max="528" width="13.28515625" style="79" customWidth="1"/>
    <col min="529" max="529" width="13.85546875" style="79" customWidth="1"/>
    <col min="530" max="530" width="2.5703125" style="79" customWidth="1"/>
    <col min="531" max="531" width="12.7109375" style="79" customWidth="1"/>
    <col min="532" max="532" width="13.140625" style="79" customWidth="1"/>
    <col min="533" max="533" width="2.85546875" style="79" customWidth="1"/>
    <col min="534" max="534" width="5.5703125" style="79" customWidth="1"/>
    <col min="535" max="535" width="8.28515625" style="79" customWidth="1"/>
    <col min="536" max="536" width="11.140625" style="79" customWidth="1"/>
    <col min="537" max="537" width="12.28515625" style="79" customWidth="1"/>
    <col min="538" max="538" width="2.7109375" style="79" customWidth="1"/>
    <col min="539" max="539" width="8.28515625" style="79" customWidth="1"/>
    <col min="540" max="540" width="7.42578125" style="79" customWidth="1"/>
    <col min="541" max="541" width="8.42578125" style="79" customWidth="1"/>
    <col min="542" max="542" width="12.140625" style="79" customWidth="1"/>
    <col min="543" max="543" width="4" style="79" customWidth="1"/>
    <col min="544" max="768" width="9.140625" style="79"/>
    <col min="769" max="769" width="1.85546875" style="79" customWidth="1"/>
    <col min="770" max="770" width="4.7109375" style="79" customWidth="1"/>
    <col min="771" max="771" width="2" style="79" customWidth="1"/>
    <col min="772" max="772" width="10" style="79" customWidth="1"/>
    <col min="773" max="773" width="8.140625" style="79" customWidth="1"/>
    <col min="774" max="774" width="10.5703125" style="79" customWidth="1"/>
    <col min="775" max="775" width="8.7109375" style="79" customWidth="1"/>
    <col min="776" max="776" width="3.7109375" style="79" customWidth="1"/>
    <col min="777" max="777" width="13.140625" style="79" customWidth="1"/>
    <col min="778" max="778" width="14.28515625" style="79" customWidth="1"/>
    <col min="779" max="779" width="3.7109375" style="79" customWidth="1"/>
    <col min="780" max="780" width="0" style="79" hidden="1" customWidth="1"/>
    <col min="781" max="782" width="20" style="79" customWidth="1"/>
    <col min="783" max="783" width="2.140625" style="79" customWidth="1"/>
    <col min="784" max="784" width="13.28515625" style="79" customWidth="1"/>
    <col min="785" max="785" width="13.85546875" style="79" customWidth="1"/>
    <col min="786" max="786" width="2.5703125" style="79" customWidth="1"/>
    <col min="787" max="787" width="12.7109375" style="79" customWidth="1"/>
    <col min="788" max="788" width="13.140625" style="79" customWidth="1"/>
    <col min="789" max="789" width="2.85546875" style="79" customWidth="1"/>
    <col min="790" max="790" width="5.5703125" style="79" customWidth="1"/>
    <col min="791" max="791" width="8.28515625" style="79" customWidth="1"/>
    <col min="792" max="792" width="11.140625" style="79" customWidth="1"/>
    <col min="793" max="793" width="12.28515625" style="79" customWidth="1"/>
    <col min="794" max="794" width="2.7109375" style="79" customWidth="1"/>
    <col min="795" max="795" width="8.28515625" style="79" customWidth="1"/>
    <col min="796" max="796" width="7.42578125" style="79" customWidth="1"/>
    <col min="797" max="797" width="8.42578125" style="79" customWidth="1"/>
    <col min="798" max="798" width="12.140625" style="79" customWidth="1"/>
    <col min="799" max="799" width="4" style="79" customWidth="1"/>
    <col min="800" max="1024" width="9.140625" style="79"/>
    <col min="1025" max="1025" width="1.85546875" style="79" customWidth="1"/>
    <col min="1026" max="1026" width="4.7109375" style="79" customWidth="1"/>
    <col min="1027" max="1027" width="2" style="79" customWidth="1"/>
    <col min="1028" max="1028" width="10" style="79" customWidth="1"/>
    <col min="1029" max="1029" width="8.140625" style="79" customWidth="1"/>
    <col min="1030" max="1030" width="10.5703125" style="79" customWidth="1"/>
    <col min="1031" max="1031" width="8.7109375" style="79" customWidth="1"/>
    <col min="1032" max="1032" width="3.7109375" style="79" customWidth="1"/>
    <col min="1033" max="1033" width="13.140625" style="79" customWidth="1"/>
    <col min="1034" max="1034" width="14.28515625" style="79" customWidth="1"/>
    <col min="1035" max="1035" width="3.7109375" style="79" customWidth="1"/>
    <col min="1036" max="1036" width="0" style="79" hidden="1" customWidth="1"/>
    <col min="1037" max="1038" width="20" style="79" customWidth="1"/>
    <col min="1039" max="1039" width="2.140625" style="79" customWidth="1"/>
    <col min="1040" max="1040" width="13.28515625" style="79" customWidth="1"/>
    <col min="1041" max="1041" width="13.85546875" style="79" customWidth="1"/>
    <col min="1042" max="1042" width="2.5703125" style="79" customWidth="1"/>
    <col min="1043" max="1043" width="12.7109375" style="79" customWidth="1"/>
    <col min="1044" max="1044" width="13.140625" style="79" customWidth="1"/>
    <col min="1045" max="1045" width="2.85546875" style="79" customWidth="1"/>
    <col min="1046" max="1046" width="5.5703125" style="79" customWidth="1"/>
    <col min="1047" max="1047" width="8.28515625" style="79" customWidth="1"/>
    <col min="1048" max="1048" width="11.140625" style="79" customWidth="1"/>
    <col min="1049" max="1049" width="12.28515625" style="79" customWidth="1"/>
    <col min="1050" max="1050" width="2.7109375" style="79" customWidth="1"/>
    <col min="1051" max="1051" width="8.28515625" style="79" customWidth="1"/>
    <col min="1052" max="1052" width="7.42578125" style="79" customWidth="1"/>
    <col min="1053" max="1053" width="8.42578125" style="79" customWidth="1"/>
    <col min="1054" max="1054" width="12.140625" style="79" customWidth="1"/>
    <col min="1055" max="1055" width="4" style="79" customWidth="1"/>
    <col min="1056" max="1280" width="9.140625" style="79"/>
    <col min="1281" max="1281" width="1.85546875" style="79" customWidth="1"/>
    <col min="1282" max="1282" width="4.7109375" style="79" customWidth="1"/>
    <col min="1283" max="1283" width="2" style="79" customWidth="1"/>
    <col min="1284" max="1284" width="10" style="79" customWidth="1"/>
    <col min="1285" max="1285" width="8.140625" style="79" customWidth="1"/>
    <col min="1286" max="1286" width="10.5703125" style="79" customWidth="1"/>
    <col min="1287" max="1287" width="8.7109375" style="79" customWidth="1"/>
    <col min="1288" max="1288" width="3.7109375" style="79" customWidth="1"/>
    <col min="1289" max="1289" width="13.140625" style="79" customWidth="1"/>
    <col min="1290" max="1290" width="14.28515625" style="79" customWidth="1"/>
    <col min="1291" max="1291" width="3.7109375" style="79" customWidth="1"/>
    <col min="1292" max="1292" width="0" style="79" hidden="1" customWidth="1"/>
    <col min="1293" max="1294" width="20" style="79" customWidth="1"/>
    <col min="1295" max="1295" width="2.140625" style="79" customWidth="1"/>
    <col min="1296" max="1296" width="13.28515625" style="79" customWidth="1"/>
    <col min="1297" max="1297" width="13.85546875" style="79" customWidth="1"/>
    <col min="1298" max="1298" width="2.5703125" style="79" customWidth="1"/>
    <col min="1299" max="1299" width="12.7109375" style="79" customWidth="1"/>
    <col min="1300" max="1300" width="13.140625" style="79" customWidth="1"/>
    <col min="1301" max="1301" width="2.85546875" style="79" customWidth="1"/>
    <col min="1302" max="1302" width="5.5703125" style="79" customWidth="1"/>
    <col min="1303" max="1303" width="8.28515625" style="79" customWidth="1"/>
    <col min="1304" max="1304" width="11.140625" style="79" customWidth="1"/>
    <col min="1305" max="1305" width="12.28515625" style="79" customWidth="1"/>
    <col min="1306" max="1306" width="2.7109375" style="79" customWidth="1"/>
    <col min="1307" max="1307" width="8.28515625" style="79" customWidth="1"/>
    <col min="1308" max="1308" width="7.42578125" style="79" customWidth="1"/>
    <col min="1309" max="1309" width="8.42578125" style="79" customWidth="1"/>
    <col min="1310" max="1310" width="12.140625" style="79" customWidth="1"/>
    <col min="1311" max="1311" width="4" style="79" customWidth="1"/>
    <col min="1312" max="1536" width="9.140625" style="79"/>
    <col min="1537" max="1537" width="1.85546875" style="79" customWidth="1"/>
    <col min="1538" max="1538" width="4.7109375" style="79" customWidth="1"/>
    <col min="1539" max="1539" width="2" style="79" customWidth="1"/>
    <col min="1540" max="1540" width="10" style="79" customWidth="1"/>
    <col min="1541" max="1541" width="8.140625" style="79" customWidth="1"/>
    <col min="1542" max="1542" width="10.5703125" style="79" customWidth="1"/>
    <col min="1543" max="1543" width="8.7109375" style="79" customWidth="1"/>
    <col min="1544" max="1544" width="3.7109375" style="79" customWidth="1"/>
    <col min="1545" max="1545" width="13.140625" style="79" customWidth="1"/>
    <col min="1546" max="1546" width="14.28515625" style="79" customWidth="1"/>
    <col min="1547" max="1547" width="3.7109375" style="79" customWidth="1"/>
    <col min="1548" max="1548" width="0" style="79" hidden="1" customWidth="1"/>
    <col min="1549" max="1550" width="20" style="79" customWidth="1"/>
    <col min="1551" max="1551" width="2.140625" style="79" customWidth="1"/>
    <col min="1552" max="1552" width="13.28515625" style="79" customWidth="1"/>
    <col min="1553" max="1553" width="13.85546875" style="79" customWidth="1"/>
    <col min="1554" max="1554" width="2.5703125" style="79" customWidth="1"/>
    <col min="1555" max="1555" width="12.7109375" style="79" customWidth="1"/>
    <col min="1556" max="1556" width="13.140625" style="79" customWidth="1"/>
    <col min="1557" max="1557" width="2.85546875" style="79" customWidth="1"/>
    <col min="1558" max="1558" width="5.5703125" style="79" customWidth="1"/>
    <col min="1559" max="1559" width="8.28515625" style="79" customWidth="1"/>
    <col min="1560" max="1560" width="11.140625" style="79" customWidth="1"/>
    <col min="1561" max="1561" width="12.28515625" style="79" customWidth="1"/>
    <col min="1562" max="1562" width="2.7109375" style="79" customWidth="1"/>
    <col min="1563" max="1563" width="8.28515625" style="79" customWidth="1"/>
    <col min="1564" max="1564" width="7.42578125" style="79" customWidth="1"/>
    <col min="1565" max="1565" width="8.42578125" style="79" customWidth="1"/>
    <col min="1566" max="1566" width="12.140625" style="79" customWidth="1"/>
    <col min="1567" max="1567" width="4" style="79" customWidth="1"/>
    <col min="1568" max="1792" width="9.140625" style="79"/>
    <col min="1793" max="1793" width="1.85546875" style="79" customWidth="1"/>
    <col min="1794" max="1794" width="4.7109375" style="79" customWidth="1"/>
    <col min="1795" max="1795" width="2" style="79" customWidth="1"/>
    <col min="1796" max="1796" width="10" style="79" customWidth="1"/>
    <col min="1797" max="1797" width="8.140625" style="79" customWidth="1"/>
    <col min="1798" max="1798" width="10.5703125" style="79" customWidth="1"/>
    <col min="1799" max="1799" width="8.7109375" style="79" customWidth="1"/>
    <col min="1800" max="1800" width="3.7109375" style="79" customWidth="1"/>
    <col min="1801" max="1801" width="13.140625" style="79" customWidth="1"/>
    <col min="1802" max="1802" width="14.28515625" style="79" customWidth="1"/>
    <col min="1803" max="1803" width="3.7109375" style="79" customWidth="1"/>
    <col min="1804" max="1804" width="0" style="79" hidden="1" customWidth="1"/>
    <col min="1805" max="1806" width="20" style="79" customWidth="1"/>
    <col min="1807" max="1807" width="2.140625" style="79" customWidth="1"/>
    <col min="1808" max="1808" width="13.28515625" style="79" customWidth="1"/>
    <col min="1809" max="1809" width="13.85546875" style="79" customWidth="1"/>
    <col min="1810" max="1810" width="2.5703125" style="79" customWidth="1"/>
    <col min="1811" max="1811" width="12.7109375" style="79" customWidth="1"/>
    <col min="1812" max="1812" width="13.140625" style="79" customWidth="1"/>
    <col min="1813" max="1813" width="2.85546875" style="79" customWidth="1"/>
    <col min="1814" max="1814" width="5.5703125" style="79" customWidth="1"/>
    <col min="1815" max="1815" width="8.28515625" style="79" customWidth="1"/>
    <col min="1816" max="1816" width="11.140625" style="79" customWidth="1"/>
    <col min="1817" max="1817" width="12.28515625" style="79" customWidth="1"/>
    <col min="1818" max="1818" width="2.7109375" style="79" customWidth="1"/>
    <col min="1819" max="1819" width="8.28515625" style="79" customWidth="1"/>
    <col min="1820" max="1820" width="7.42578125" style="79" customWidth="1"/>
    <col min="1821" max="1821" width="8.42578125" style="79" customWidth="1"/>
    <col min="1822" max="1822" width="12.140625" style="79" customWidth="1"/>
    <col min="1823" max="1823" width="4" style="79" customWidth="1"/>
    <col min="1824" max="2048" width="9.140625" style="79"/>
    <col min="2049" max="2049" width="1.85546875" style="79" customWidth="1"/>
    <col min="2050" max="2050" width="4.7109375" style="79" customWidth="1"/>
    <col min="2051" max="2051" width="2" style="79" customWidth="1"/>
    <col min="2052" max="2052" width="10" style="79" customWidth="1"/>
    <col min="2053" max="2053" width="8.140625" style="79" customWidth="1"/>
    <col min="2054" max="2054" width="10.5703125" style="79" customWidth="1"/>
    <col min="2055" max="2055" width="8.7109375" style="79" customWidth="1"/>
    <col min="2056" max="2056" width="3.7109375" style="79" customWidth="1"/>
    <col min="2057" max="2057" width="13.140625" style="79" customWidth="1"/>
    <col min="2058" max="2058" width="14.28515625" style="79" customWidth="1"/>
    <col min="2059" max="2059" width="3.7109375" style="79" customWidth="1"/>
    <col min="2060" max="2060" width="0" style="79" hidden="1" customWidth="1"/>
    <col min="2061" max="2062" width="20" style="79" customWidth="1"/>
    <col min="2063" max="2063" width="2.140625" style="79" customWidth="1"/>
    <col min="2064" max="2064" width="13.28515625" style="79" customWidth="1"/>
    <col min="2065" max="2065" width="13.85546875" style="79" customWidth="1"/>
    <col min="2066" max="2066" width="2.5703125" style="79" customWidth="1"/>
    <col min="2067" max="2067" width="12.7109375" style="79" customWidth="1"/>
    <col min="2068" max="2068" width="13.140625" style="79" customWidth="1"/>
    <col min="2069" max="2069" width="2.85546875" style="79" customWidth="1"/>
    <col min="2070" max="2070" width="5.5703125" style="79" customWidth="1"/>
    <col min="2071" max="2071" width="8.28515625" style="79" customWidth="1"/>
    <col min="2072" max="2072" width="11.140625" style="79" customWidth="1"/>
    <col min="2073" max="2073" width="12.28515625" style="79" customWidth="1"/>
    <col min="2074" max="2074" width="2.7109375" style="79" customWidth="1"/>
    <col min="2075" max="2075" width="8.28515625" style="79" customWidth="1"/>
    <col min="2076" max="2076" width="7.42578125" style="79" customWidth="1"/>
    <col min="2077" max="2077" width="8.42578125" style="79" customWidth="1"/>
    <col min="2078" max="2078" width="12.140625" style="79" customWidth="1"/>
    <col min="2079" max="2079" width="4" style="79" customWidth="1"/>
    <col min="2080" max="2304" width="9.140625" style="79"/>
    <col min="2305" max="2305" width="1.85546875" style="79" customWidth="1"/>
    <col min="2306" max="2306" width="4.7109375" style="79" customWidth="1"/>
    <col min="2307" max="2307" width="2" style="79" customWidth="1"/>
    <col min="2308" max="2308" width="10" style="79" customWidth="1"/>
    <col min="2309" max="2309" width="8.140625" style="79" customWidth="1"/>
    <col min="2310" max="2310" width="10.5703125" style="79" customWidth="1"/>
    <col min="2311" max="2311" width="8.7109375" style="79" customWidth="1"/>
    <col min="2312" max="2312" width="3.7109375" style="79" customWidth="1"/>
    <col min="2313" max="2313" width="13.140625" style="79" customWidth="1"/>
    <col min="2314" max="2314" width="14.28515625" style="79" customWidth="1"/>
    <col min="2315" max="2315" width="3.7109375" style="79" customWidth="1"/>
    <col min="2316" max="2316" width="0" style="79" hidden="1" customWidth="1"/>
    <col min="2317" max="2318" width="20" style="79" customWidth="1"/>
    <col min="2319" max="2319" width="2.140625" style="79" customWidth="1"/>
    <col min="2320" max="2320" width="13.28515625" style="79" customWidth="1"/>
    <col min="2321" max="2321" width="13.85546875" style="79" customWidth="1"/>
    <col min="2322" max="2322" width="2.5703125" style="79" customWidth="1"/>
    <col min="2323" max="2323" width="12.7109375" style="79" customWidth="1"/>
    <col min="2324" max="2324" width="13.140625" style="79" customWidth="1"/>
    <col min="2325" max="2325" width="2.85546875" style="79" customWidth="1"/>
    <col min="2326" max="2326" width="5.5703125" style="79" customWidth="1"/>
    <col min="2327" max="2327" width="8.28515625" style="79" customWidth="1"/>
    <col min="2328" max="2328" width="11.140625" style="79" customWidth="1"/>
    <col min="2329" max="2329" width="12.28515625" style="79" customWidth="1"/>
    <col min="2330" max="2330" width="2.7109375" style="79" customWidth="1"/>
    <col min="2331" max="2331" width="8.28515625" style="79" customWidth="1"/>
    <col min="2332" max="2332" width="7.42578125" style="79" customWidth="1"/>
    <col min="2333" max="2333" width="8.42578125" style="79" customWidth="1"/>
    <col min="2334" max="2334" width="12.140625" style="79" customWidth="1"/>
    <col min="2335" max="2335" width="4" style="79" customWidth="1"/>
    <col min="2336" max="2560" width="9.140625" style="79"/>
    <col min="2561" max="2561" width="1.85546875" style="79" customWidth="1"/>
    <col min="2562" max="2562" width="4.7109375" style="79" customWidth="1"/>
    <col min="2563" max="2563" width="2" style="79" customWidth="1"/>
    <col min="2564" max="2564" width="10" style="79" customWidth="1"/>
    <col min="2565" max="2565" width="8.140625" style="79" customWidth="1"/>
    <col min="2566" max="2566" width="10.5703125" style="79" customWidth="1"/>
    <col min="2567" max="2567" width="8.7109375" style="79" customWidth="1"/>
    <col min="2568" max="2568" width="3.7109375" style="79" customWidth="1"/>
    <col min="2569" max="2569" width="13.140625" style="79" customWidth="1"/>
    <col min="2570" max="2570" width="14.28515625" style="79" customWidth="1"/>
    <col min="2571" max="2571" width="3.7109375" style="79" customWidth="1"/>
    <col min="2572" max="2572" width="0" style="79" hidden="1" customWidth="1"/>
    <col min="2573" max="2574" width="20" style="79" customWidth="1"/>
    <col min="2575" max="2575" width="2.140625" style="79" customWidth="1"/>
    <col min="2576" max="2576" width="13.28515625" style="79" customWidth="1"/>
    <col min="2577" max="2577" width="13.85546875" style="79" customWidth="1"/>
    <col min="2578" max="2578" width="2.5703125" style="79" customWidth="1"/>
    <col min="2579" max="2579" width="12.7109375" style="79" customWidth="1"/>
    <col min="2580" max="2580" width="13.140625" style="79" customWidth="1"/>
    <col min="2581" max="2581" width="2.85546875" style="79" customWidth="1"/>
    <col min="2582" max="2582" width="5.5703125" style="79" customWidth="1"/>
    <col min="2583" max="2583" width="8.28515625" style="79" customWidth="1"/>
    <col min="2584" max="2584" width="11.140625" style="79" customWidth="1"/>
    <col min="2585" max="2585" width="12.28515625" style="79" customWidth="1"/>
    <col min="2586" max="2586" width="2.7109375" style="79" customWidth="1"/>
    <col min="2587" max="2587" width="8.28515625" style="79" customWidth="1"/>
    <col min="2588" max="2588" width="7.42578125" style="79" customWidth="1"/>
    <col min="2589" max="2589" width="8.42578125" style="79" customWidth="1"/>
    <col min="2590" max="2590" width="12.140625" style="79" customWidth="1"/>
    <col min="2591" max="2591" width="4" style="79" customWidth="1"/>
    <col min="2592" max="2816" width="9.140625" style="79"/>
    <col min="2817" max="2817" width="1.85546875" style="79" customWidth="1"/>
    <col min="2818" max="2818" width="4.7109375" style="79" customWidth="1"/>
    <col min="2819" max="2819" width="2" style="79" customWidth="1"/>
    <col min="2820" max="2820" width="10" style="79" customWidth="1"/>
    <col min="2821" max="2821" width="8.140625" style="79" customWidth="1"/>
    <col min="2822" max="2822" width="10.5703125" style="79" customWidth="1"/>
    <col min="2823" max="2823" width="8.7109375" style="79" customWidth="1"/>
    <col min="2824" max="2824" width="3.7109375" style="79" customWidth="1"/>
    <col min="2825" max="2825" width="13.140625" style="79" customWidth="1"/>
    <col min="2826" max="2826" width="14.28515625" style="79" customWidth="1"/>
    <col min="2827" max="2827" width="3.7109375" style="79" customWidth="1"/>
    <col min="2828" max="2828" width="0" style="79" hidden="1" customWidth="1"/>
    <col min="2829" max="2830" width="20" style="79" customWidth="1"/>
    <col min="2831" max="2831" width="2.140625" style="79" customWidth="1"/>
    <col min="2832" max="2832" width="13.28515625" style="79" customWidth="1"/>
    <col min="2833" max="2833" width="13.85546875" style="79" customWidth="1"/>
    <col min="2834" max="2834" width="2.5703125" style="79" customWidth="1"/>
    <col min="2835" max="2835" width="12.7109375" style="79" customWidth="1"/>
    <col min="2836" max="2836" width="13.140625" style="79" customWidth="1"/>
    <col min="2837" max="2837" width="2.85546875" style="79" customWidth="1"/>
    <col min="2838" max="2838" width="5.5703125" style="79" customWidth="1"/>
    <col min="2839" max="2839" width="8.28515625" style="79" customWidth="1"/>
    <col min="2840" max="2840" width="11.140625" style="79" customWidth="1"/>
    <col min="2841" max="2841" width="12.28515625" style="79" customWidth="1"/>
    <col min="2842" max="2842" width="2.7109375" style="79" customWidth="1"/>
    <col min="2843" max="2843" width="8.28515625" style="79" customWidth="1"/>
    <col min="2844" max="2844" width="7.42578125" style="79" customWidth="1"/>
    <col min="2845" max="2845" width="8.42578125" style="79" customWidth="1"/>
    <col min="2846" max="2846" width="12.140625" style="79" customWidth="1"/>
    <col min="2847" max="2847" width="4" style="79" customWidth="1"/>
    <col min="2848" max="3072" width="9.140625" style="79"/>
    <col min="3073" max="3073" width="1.85546875" style="79" customWidth="1"/>
    <col min="3074" max="3074" width="4.7109375" style="79" customWidth="1"/>
    <col min="3075" max="3075" width="2" style="79" customWidth="1"/>
    <col min="3076" max="3076" width="10" style="79" customWidth="1"/>
    <col min="3077" max="3077" width="8.140625" style="79" customWidth="1"/>
    <col min="3078" max="3078" width="10.5703125" style="79" customWidth="1"/>
    <col min="3079" max="3079" width="8.7109375" style="79" customWidth="1"/>
    <col min="3080" max="3080" width="3.7109375" style="79" customWidth="1"/>
    <col min="3081" max="3081" width="13.140625" style="79" customWidth="1"/>
    <col min="3082" max="3082" width="14.28515625" style="79" customWidth="1"/>
    <col min="3083" max="3083" width="3.7109375" style="79" customWidth="1"/>
    <col min="3084" max="3084" width="0" style="79" hidden="1" customWidth="1"/>
    <col min="3085" max="3086" width="20" style="79" customWidth="1"/>
    <col min="3087" max="3087" width="2.140625" style="79" customWidth="1"/>
    <col min="3088" max="3088" width="13.28515625" style="79" customWidth="1"/>
    <col min="3089" max="3089" width="13.85546875" style="79" customWidth="1"/>
    <col min="3090" max="3090" width="2.5703125" style="79" customWidth="1"/>
    <col min="3091" max="3091" width="12.7109375" style="79" customWidth="1"/>
    <col min="3092" max="3092" width="13.140625" style="79" customWidth="1"/>
    <col min="3093" max="3093" width="2.85546875" style="79" customWidth="1"/>
    <col min="3094" max="3094" width="5.5703125" style="79" customWidth="1"/>
    <col min="3095" max="3095" width="8.28515625" style="79" customWidth="1"/>
    <col min="3096" max="3096" width="11.140625" style="79" customWidth="1"/>
    <col min="3097" max="3097" width="12.28515625" style="79" customWidth="1"/>
    <col min="3098" max="3098" width="2.7109375" style="79" customWidth="1"/>
    <col min="3099" max="3099" width="8.28515625" style="79" customWidth="1"/>
    <col min="3100" max="3100" width="7.42578125" style="79" customWidth="1"/>
    <col min="3101" max="3101" width="8.42578125" style="79" customWidth="1"/>
    <col min="3102" max="3102" width="12.140625" style="79" customWidth="1"/>
    <col min="3103" max="3103" width="4" style="79" customWidth="1"/>
    <col min="3104" max="3328" width="9.140625" style="79"/>
    <col min="3329" max="3329" width="1.85546875" style="79" customWidth="1"/>
    <col min="3330" max="3330" width="4.7109375" style="79" customWidth="1"/>
    <col min="3331" max="3331" width="2" style="79" customWidth="1"/>
    <col min="3332" max="3332" width="10" style="79" customWidth="1"/>
    <col min="3333" max="3333" width="8.140625" style="79" customWidth="1"/>
    <col min="3334" max="3334" width="10.5703125" style="79" customWidth="1"/>
    <col min="3335" max="3335" width="8.7109375" style="79" customWidth="1"/>
    <col min="3336" max="3336" width="3.7109375" style="79" customWidth="1"/>
    <col min="3337" max="3337" width="13.140625" style="79" customWidth="1"/>
    <col min="3338" max="3338" width="14.28515625" style="79" customWidth="1"/>
    <col min="3339" max="3339" width="3.7109375" style="79" customWidth="1"/>
    <col min="3340" max="3340" width="0" style="79" hidden="1" customWidth="1"/>
    <col min="3341" max="3342" width="20" style="79" customWidth="1"/>
    <col min="3343" max="3343" width="2.140625" style="79" customWidth="1"/>
    <col min="3344" max="3344" width="13.28515625" style="79" customWidth="1"/>
    <col min="3345" max="3345" width="13.85546875" style="79" customWidth="1"/>
    <col min="3346" max="3346" width="2.5703125" style="79" customWidth="1"/>
    <col min="3347" max="3347" width="12.7109375" style="79" customWidth="1"/>
    <col min="3348" max="3348" width="13.140625" style="79" customWidth="1"/>
    <col min="3349" max="3349" width="2.85546875" style="79" customWidth="1"/>
    <col min="3350" max="3350" width="5.5703125" style="79" customWidth="1"/>
    <col min="3351" max="3351" width="8.28515625" style="79" customWidth="1"/>
    <col min="3352" max="3352" width="11.140625" style="79" customWidth="1"/>
    <col min="3353" max="3353" width="12.28515625" style="79" customWidth="1"/>
    <col min="3354" max="3354" width="2.7109375" style="79" customWidth="1"/>
    <col min="3355" max="3355" width="8.28515625" style="79" customWidth="1"/>
    <col min="3356" max="3356" width="7.42578125" style="79" customWidth="1"/>
    <col min="3357" max="3357" width="8.42578125" style="79" customWidth="1"/>
    <col min="3358" max="3358" width="12.140625" style="79" customWidth="1"/>
    <col min="3359" max="3359" width="4" style="79" customWidth="1"/>
    <col min="3360" max="3584" width="9.140625" style="79"/>
    <col min="3585" max="3585" width="1.85546875" style="79" customWidth="1"/>
    <col min="3586" max="3586" width="4.7109375" style="79" customWidth="1"/>
    <col min="3587" max="3587" width="2" style="79" customWidth="1"/>
    <col min="3588" max="3588" width="10" style="79" customWidth="1"/>
    <col min="3589" max="3589" width="8.140625" style="79" customWidth="1"/>
    <col min="3590" max="3590" width="10.5703125" style="79" customWidth="1"/>
    <col min="3591" max="3591" width="8.7109375" style="79" customWidth="1"/>
    <col min="3592" max="3592" width="3.7109375" style="79" customWidth="1"/>
    <col min="3593" max="3593" width="13.140625" style="79" customWidth="1"/>
    <col min="3594" max="3594" width="14.28515625" style="79" customWidth="1"/>
    <col min="3595" max="3595" width="3.7109375" style="79" customWidth="1"/>
    <col min="3596" max="3596" width="0" style="79" hidden="1" customWidth="1"/>
    <col min="3597" max="3598" width="20" style="79" customWidth="1"/>
    <col min="3599" max="3599" width="2.140625" style="79" customWidth="1"/>
    <col min="3600" max="3600" width="13.28515625" style="79" customWidth="1"/>
    <col min="3601" max="3601" width="13.85546875" style="79" customWidth="1"/>
    <col min="3602" max="3602" width="2.5703125" style="79" customWidth="1"/>
    <col min="3603" max="3603" width="12.7109375" style="79" customWidth="1"/>
    <col min="3604" max="3604" width="13.140625" style="79" customWidth="1"/>
    <col min="3605" max="3605" width="2.85546875" style="79" customWidth="1"/>
    <col min="3606" max="3606" width="5.5703125" style="79" customWidth="1"/>
    <col min="3607" max="3607" width="8.28515625" style="79" customWidth="1"/>
    <col min="3608" max="3608" width="11.140625" style="79" customWidth="1"/>
    <col min="3609" max="3609" width="12.28515625" style="79" customWidth="1"/>
    <col min="3610" max="3610" width="2.7109375" style="79" customWidth="1"/>
    <col min="3611" max="3611" width="8.28515625" style="79" customWidth="1"/>
    <col min="3612" max="3612" width="7.42578125" style="79" customWidth="1"/>
    <col min="3613" max="3613" width="8.42578125" style="79" customWidth="1"/>
    <col min="3614" max="3614" width="12.140625" style="79" customWidth="1"/>
    <col min="3615" max="3615" width="4" style="79" customWidth="1"/>
    <col min="3616" max="3840" width="9.140625" style="79"/>
    <col min="3841" max="3841" width="1.85546875" style="79" customWidth="1"/>
    <col min="3842" max="3842" width="4.7109375" style="79" customWidth="1"/>
    <col min="3843" max="3843" width="2" style="79" customWidth="1"/>
    <col min="3844" max="3844" width="10" style="79" customWidth="1"/>
    <col min="3845" max="3845" width="8.140625" style="79" customWidth="1"/>
    <col min="3846" max="3846" width="10.5703125" style="79" customWidth="1"/>
    <col min="3847" max="3847" width="8.7109375" style="79" customWidth="1"/>
    <col min="3848" max="3848" width="3.7109375" style="79" customWidth="1"/>
    <col min="3849" max="3849" width="13.140625" style="79" customWidth="1"/>
    <col min="3850" max="3850" width="14.28515625" style="79" customWidth="1"/>
    <col min="3851" max="3851" width="3.7109375" style="79" customWidth="1"/>
    <col min="3852" max="3852" width="0" style="79" hidden="1" customWidth="1"/>
    <col min="3853" max="3854" width="20" style="79" customWidth="1"/>
    <col min="3855" max="3855" width="2.140625" style="79" customWidth="1"/>
    <col min="3856" max="3856" width="13.28515625" style="79" customWidth="1"/>
    <col min="3857" max="3857" width="13.85546875" style="79" customWidth="1"/>
    <col min="3858" max="3858" width="2.5703125" style="79" customWidth="1"/>
    <col min="3859" max="3859" width="12.7109375" style="79" customWidth="1"/>
    <col min="3860" max="3860" width="13.140625" style="79" customWidth="1"/>
    <col min="3861" max="3861" width="2.85546875" style="79" customWidth="1"/>
    <col min="3862" max="3862" width="5.5703125" style="79" customWidth="1"/>
    <col min="3863" max="3863" width="8.28515625" style="79" customWidth="1"/>
    <col min="3864" max="3864" width="11.140625" style="79" customWidth="1"/>
    <col min="3865" max="3865" width="12.28515625" style="79" customWidth="1"/>
    <col min="3866" max="3866" width="2.7109375" style="79" customWidth="1"/>
    <col min="3867" max="3867" width="8.28515625" style="79" customWidth="1"/>
    <col min="3868" max="3868" width="7.42578125" style="79" customWidth="1"/>
    <col min="3869" max="3869" width="8.42578125" style="79" customWidth="1"/>
    <col min="3870" max="3870" width="12.140625" style="79" customWidth="1"/>
    <col min="3871" max="3871" width="4" style="79" customWidth="1"/>
    <col min="3872" max="4096" width="9.140625" style="79"/>
    <col min="4097" max="4097" width="1.85546875" style="79" customWidth="1"/>
    <col min="4098" max="4098" width="4.7109375" style="79" customWidth="1"/>
    <col min="4099" max="4099" width="2" style="79" customWidth="1"/>
    <col min="4100" max="4100" width="10" style="79" customWidth="1"/>
    <col min="4101" max="4101" width="8.140625" style="79" customWidth="1"/>
    <col min="4102" max="4102" width="10.5703125" style="79" customWidth="1"/>
    <col min="4103" max="4103" width="8.7109375" style="79" customWidth="1"/>
    <col min="4104" max="4104" width="3.7109375" style="79" customWidth="1"/>
    <col min="4105" max="4105" width="13.140625" style="79" customWidth="1"/>
    <col min="4106" max="4106" width="14.28515625" style="79" customWidth="1"/>
    <col min="4107" max="4107" width="3.7109375" style="79" customWidth="1"/>
    <col min="4108" max="4108" width="0" style="79" hidden="1" customWidth="1"/>
    <col min="4109" max="4110" width="20" style="79" customWidth="1"/>
    <col min="4111" max="4111" width="2.140625" style="79" customWidth="1"/>
    <col min="4112" max="4112" width="13.28515625" style="79" customWidth="1"/>
    <col min="4113" max="4113" width="13.85546875" style="79" customWidth="1"/>
    <col min="4114" max="4114" width="2.5703125" style="79" customWidth="1"/>
    <col min="4115" max="4115" width="12.7109375" style="79" customWidth="1"/>
    <col min="4116" max="4116" width="13.140625" style="79" customWidth="1"/>
    <col min="4117" max="4117" width="2.85546875" style="79" customWidth="1"/>
    <col min="4118" max="4118" width="5.5703125" style="79" customWidth="1"/>
    <col min="4119" max="4119" width="8.28515625" style="79" customWidth="1"/>
    <col min="4120" max="4120" width="11.140625" style="79" customWidth="1"/>
    <col min="4121" max="4121" width="12.28515625" style="79" customWidth="1"/>
    <col min="4122" max="4122" width="2.7109375" style="79" customWidth="1"/>
    <col min="4123" max="4123" width="8.28515625" style="79" customWidth="1"/>
    <col min="4124" max="4124" width="7.42578125" style="79" customWidth="1"/>
    <col min="4125" max="4125" width="8.42578125" style="79" customWidth="1"/>
    <col min="4126" max="4126" width="12.140625" style="79" customWidth="1"/>
    <col min="4127" max="4127" width="4" style="79" customWidth="1"/>
    <col min="4128" max="4352" width="9.140625" style="79"/>
    <col min="4353" max="4353" width="1.85546875" style="79" customWidth="1"/>
    <col min="4354" max="4354" width="4.7109375" style="79" customWidth="1"/>
    <col min="4355" max="4355" width="2" style="79" customWidth="1"/>
    <col min="4356" max="4356" width="10" style="79" customWidth="1"/>
    <col min="4357" max="4357" width="8.140625" style="79" customWidth="1"/>
    <col min="4358" max="4358" width="10.5703125" style="79" customWidth="1"/>
    <col min="4359" max="4359" width="8.7109375" style="79" customWidth="1"/>
    <col min="4360" max="4360" width="3.7109375" style="79" customWidth="1"/>
    <col min="4361" max="4361" width="13.140625" style="79" customWidth="1"/>
    <col min="4362" max="4362" width="14.28515625" style="79" customWidth="1"/>
    <col min="4363" max="4363" width="3.7109375" style="79" customWidth="1"/>
    <col min="4364" max="4364" width="0" style="79" hidden="1" customWidth="1"/>
    <col min="4365" max="4366" width="20" style="79" customWidth="1"/>
    <col min="4367" max="4367" width="2.140625" style="79" customWidth="1"/>
    <col min="4368" max="4368" width="13.28515625" style="79" customWidth="1"/>
    <col min="4369" max="4369" width="13.85546875" style="79" customWidth="1"/>
    <col min="4370" max="4370" width="2.5703125" style="79" customWidth="1"/>
    <col min="4371" max="4371" width="12.7109375" style="79" customWidth="1"/>
    <col min="4372" max="4372" width="13.140625" style="79" customWidth="1"/>
    <col min="4373" max="4373" width="2.85546875" style="79" customWidth="1"/>
    <col min="4374" max="4374" width="5.5703125" style="79" customWidth="1"/>
    <col min="4375" max="4375" width="8.28515625" style="79" customWidth="1"/>
    <col min="4376" max="4376" width="11.140625" style="79" customWidth="1"/>
    <col min="4377" max="4377" width="12.28515625" style="79" customWidth="1"/>
    <col min="4378" max="4378" width="2.7109375" style="79" customWidth="1"/>
    <col min="4379" max="4379" width="8.28515625" style="79" customWidth="1"/>
    <col min="4380" max="4380" width="7.42578125" style="79" customWidth="1"/>
    <col min="4381" max="4381" width="8.42578125" style="79" customWidth="1"/>
    <col min="4382" max="4382" width="12.140625" style="79" customWidth="1"/>
    <col min="4383" max="4383" width="4" style="79" customWidth="1"/>
    <col min="4384" max="4608" width="9.140625" style="79"/>
    <col min="4609" max="4609" width="1.85546875" style="79" customWidth="1"/>
    <col min="4610" max="4610" width="4.7109375" style="79" customWidth="1"/>
    <col min="4611" max="4611" width="2" style="79" customWidth="1"/>
    <col min="4612" max="4612" width="10" style="79" customWidth="1"/>
    <col min="4613" max="4613" width="8.140625" style="79" customWidth="1"/>
    <col min="4614" max="4614" width="10.5703125" style="79" customWidth="1"/>
    <col min="4615" max="4615" width="8.7109375" style="79" customWidth="1"/>
    <col min="4616" max="4616" width="3.7109375" style="79" customWidth="1"/>
    <col min="4617" max="4617" width="13.140625" style="79" customWidth="1"/>
    <col min="4618" max="4618" width="14.28515625" style="79" customWidth="1"/>
    <col min="4619" max="4619" width="3.7109375" style="79" customWidth="1"/>
    <col min="4620" max="4620" width="0" style="79" hidden="1" customWidth="1"/>
    <col min="4621" max="4622" width="20" style="79" customWidth="1"/>
    <col min="4623" max="4623" width="2.140625" style="79" customWidth="1"/>
    <col min="4624" max="4624" width="13.28515625" style="79" customWidth="1"/>
    <col min="4625" max="4625" width="13.85546875" style="79" customWidth="1"/>
    <col min="4626" max="4626" width="2.5703125" style="79" customWidth="1"/>
    <col min="4627" max="4627" width="12.7109375" style="79" customWidth="1"/>
    <col min="4628" max="4628" width="13.140625" style="79" customWidth="1"/>
    <col min="4629" max="4629" width="2.85546875" style="79" customWidth="1"/>
    <col min="4630" max="4630" width="5.5703125" style="79" customWidth="1"/>
    <col min="4631" max="4631" width="8.28515625" style="79" customWidth="1"/>
    <col min="4632" max="4632" width="11.140625" style="79" customWidth="1"/>
    <col min="4633" max="4633" width="12.28515625" style="79" customWidth="1"/>
    <col min="4634" max="4634" width="2.7109375" style="79" customWidth="1"/>
    <col min="4635" max="4635" width="8.28515625" style="79" customWidth="1"/>
    <col min="4636" max="4636" width="7.42578125" style="79" customWidth="1"/>
    <col min="4637" max="4637" width="8.42578125" style="79" customWidth="1"/>
    <col min="4638" max="4638" width="12.140625" style="79" customWidth="1"/>
    <col min="4639" max="4639" width="4" style="79" customWidth="1"/>
    <col min="4640" max="4864" width="9.140625" style="79"/>
    <col min="4865" max="4865" width="1.85546875" style="79" customWidth="1"/>
    <col min="4866" max="4866" width="4.7109375" style="79" customWidth="1"/>
    <col min="4867" max="4867" width="2" style="79" customWidth="1"/>
    <col min="4868" max="4868" width="10" style="79" customWidth="1"/>
    <col min="4869" max="4869" width="8.140625" style="79" customWidth="1"/>
    <col min="4870" max="4870" width="10.5703125" style="79" customWidth="1"/>
    <col min="4871" max="4871" width="8.7109375" style="79" customWidth="1"/>
    <col min="4872" max="4872" width="3.7109375" style="79" customWidth="1"/>
    <col min="4873" max="4873" width="13.140625" style="79" customWidth="1"/>
    <col min="4874" max="4874" width="14.28515625" style="79" customWidth="1"/>
    <col min="4875" max="4875" width="3.7109375" style="79" customWidth="1"/>
    <col min="4876" max="4876" width="0" style="79" hidden="1" customWidth="1"/>
    <col min="4877" max="4878" width="20" style="79" customWidth="1"/>
    <col min="4879" max="4879" width="2.140625" style="79" customWidth="1"/>
    <col min="4880" max="4880" width="13.28515625" style="79" customWidth="1"/>
    <col min="4881" max="4881" width="13.85546875" style="79" customWidth="1"/>
    <col min="4882" max="4882" width="2.5703125" style="79" customWidth="1"/>
    <col min="4883" max="4883" width="12.7109375" style="79" customWidth="1"/>
    <col min="4884" max="4884" width="13.140625" style="79" customWidth="1"/>
    <col min="4885" max="4885" width="2.85546875" style="79" customWidth="1"/>
    <col min="4886" max="4886" width="5.5703125" style="79" customWidth="1"/>
    <col min="4887" max="4887" width="8.28515625" style="79" customWidth="1"/>
    <col min="4888" max="4888" width="11.140625" style="79" customWidth="1"/>
    <col min="4889" max="4889" width="12.28515625" style="79" customWidth="1"/>
    <col min="4890" max="4890" width="2.7109375" style="79" customWidth="1"/>
    <col min="4891" max="4891" width="8.28515625" style="79" customWidth="1"/>
    <col min="4892" max="4892" width="7.42578125" style="79" customWidth="1"/>
    <col min="4893" max="4893" width="8.42578125" style="79" customWidth="1"/>
    <col min="4894" max="4894" width="12.140625" style="79" customWidth="1"/>
    <col min="4895" max="4895" width="4" style="79" customWidth="1"/>
    <col min="4896" max="5120" width="9.140625" style="79"/>
    <col min="5121" max="5121" width="1.85546875" style="79" customWidth="1"/>
    <col min="5122" max="5122" width="4.7109375" style="79" customWidth="1"/>
    <col min="5123" max="5123" width="2" style="79" customWidth="1"/>
    <col min="5124" max="5124" width="10" style="79" customWidth="1"/>
    <col min="5125" max="5125" width="8.140625" style="79" customWidth="1"/>
    <col min="5126" max="5126" width="10.5703125" style="79" customWidth="1"/>
    <col min="5127" max="5127" width="8.7109375" style="79" customWidth="1"/>
    <col min="5128" max="5128" width="3.7109375" style="79" customWidth="1"/>
    <col min="5129" max="5129" width="13.140625" style="79" customWidth="1"/>
    <col min="5130" max="5130" width="14.28515625" style="79" customWidth="1"/>
    <col min="5131" max="5131" width="3.7109375" style="79" customWidth="1"/>
    <col min="5132" max="5132" width="0" style="79" hidden="1" customWidth="1"/>
    <col min="5133" max="5134" width="20" style="79" customWidth="1"/>
    <col min="5135" max="5135" width="2.140625" style="79" customWidth="1"/>
    <col min="5136" max="5136" width="13.28515625" style="79" customWidth="1"/>
    <col min="5137" max="5137" width="13.85546875" style="79" customWidth="1"/>
    <col min="5138" max="5138" width="2.5703125" style="79" customWidth="1"/>
    <col min="5139" max="5139" width="12.7109375" style="79" customWidth="1"/>
    <col min="5140" max="5140" width="13.140625" style="79" customWidth="1"/>
    <col min="5141" max="5141" width="2.85546875" style="79" customWidth="1"/>
    <col min="5142" max="5142" width="5.5703125" style="79" customWidth="1"/>
    <col min="5143" max="5143" width="8.28515625" style="79" customWidth="1"/>
    <col min="5144" max="5144" width="11.140625" style="79" customWidth="1"/>
    <col min="5145" max="5145" width="12.28515625" style="79" customWidth="1"/>
    <col min="5146" max="5146" width="2.7109375" style="79" customWidth="1"/>
    <col min="5147" max="5147" width="8.28515625" style="79" customWidth="1"/>
    <col min="5148" max="5148" width="7.42578125" style="79" customWidth="1"/>
    <col min="5149" max="5149" width="8.42578125" style="79" customWidth="1"/>
    <col min="5150" max="5150" width="12.140625" style="79" customWidth="1"/>
    <col min="5151" max="5151" width="4" style="79" customWidth="1"/>
    <col min="5152" max="5376" width="9.140625" style="79"/>
    <col min="5377" max="5377" width="1.85546875" style="79" customWidth="1"/>
    <col min="5378" max="5378" width="4.7109375" style="79" customWidth="1"/>
    <col min="5379" max="5379" width="2" style="79" customWidth="1"/>
    <col min="5380" max="5380" width="10" style="79" customWidth="1"/>
    <col min="5381" max="5381" width="8.140625" style="79" customWidth="1"/>
    <col min="5382" max="5382" width="10.5703125" style="79" customWidth="1"/>
    <col min="5383" max="5383" width="8.7109375" style="79" customWidth="1"/>
    <col min="5384" max="5384" width="3.7109375" style="79" customWidth="1"/>
    <col min="5385" max="5385" width="13.140625" style="79" customWidth="1"/>
    <col min="5386" max="5386" width="14.28515625" style="79" customWidth="1"/>
    <col min="5387" max="5387" width="3.7109375" style="79" customWidth="1"/>
    <col min="5388" max="5388" width="0" style="79" hidden="1" customWidth="1"/>
    <col min="5389" max="5390" width="20" style="79" customWidth="1"/>
    <col min="5391" max="5391" width="2.140625" style="79" customWidth="1"/>
    <col min="5392" max="5392" width="13.28515625" style="79" customWidth="1"/>
    <col min="5393" max="5393" width="13.85546875" style="79" customWidth="1"/>
    <col min="5394" max="5394" width="2.5703125" style="79" customWidth="1"/>
    <col min="5395" max="5395" width="12.7109375" style="79" customWidth="1"/>
    <col min="5396" max="5396" width="13.140625" style="79" customWidth="1"/>
    <col min="5397" max="5397" width="2.85546875" style="79" customWidth="1"/>
    <col min="5398" max="5398" width="5.5703125" style="79" customWidth="1"/>
    <col min="5399" max="5399" width="8.28515625" style="79" customWidth="1"/>
    <col min="5400" max="5400" width="11.140625" style="79" customWidth="1"/>
    <col min="5401" max="5401" width="12.28515625" style="79" customWidth="1"/>
    <col min="5402" max="5402" width="2.7109375" style="79" customWidth="1"/>
    <col min="5403" max="5403" width="8.28515625" style="79" customWidth="1"/>
    <col min="5404" max="5404" width="7.42578125" style="79" customWidth="1"/>
    <col min="5405" max="5405" width="8.42578125" style="79" customWidth="1"/>
    <col min="5406" max="5406" width="12.140625" style="79" customWidth="1"/>
    <col min="5407" max="5407" width="4" style="79" customWidth="1"/>
    <col min="5408" max="5632" width="9.140625" style="79"/>
    <col min="5633" max="5633" width="1.85546875" style="79" customWidth="1"/>
    <col min="5634" max="5634" width="4.7109375" style="79" customWidth="1"/>
    <col min="5635" max="5635" width="2" style="79" customWidth="1"/>
    <col min="5636" max="5636" width="10" style="79" customWidth="1"/>
    <col min="5637" max="5637" width="8.140625" style="79" customWidth="1"/>
    <col min="5638" max="5638" width="10.5703125" style="79" customWidth="1"/>
    <col min="5639" max="5639" width="8.7109375" style="79" customWidth="1"/>
    <col min="5640" max="5640" width="3.7109375" style="79" customWidth="1"/>
    <col min="5641" max="5641" width="13.140625" style="79" customWidth="1"/>
    <col min="5642" max="5642" width="14.28515625" style="79" customWidth="1"/>
    <col min="5643" max="5643" width="3.7109375" style="79" customWidth="1"/>
    <col min="5644" max="5644" width="0" style="79" hidden="1" customWidth="1"/>
    <col min="5645" max="5646" width="20" style="79" customWidth="1"/>
    <col min="5647" max="5647" width="2.140625" style="79" customWidth="1"/>
    <col min="5648" max="5648" width="13.28515625" style="79" customWidth="1"/>
    <col min="5649" max="5649" width="13.85546875" style="79" customWidth="1"/>
    <col min="5650" max="5650" width="2.5703125" style="79" customWidth="1"/>
    <col min="5651" max="5651" width="12.7109375" style="79" customWidth="1"/>
    <col min="5652" max="5652" width="13.140625" style="79" customWidth="1"/>
    <col min="5653" max="5653" width="2.85546875" style="79" customWidth="1"/>
    <col min="5654" max="5654" width="5.5703125" style="79" customWidth="1"/>
    <col min="5655" max="5655" width="8.28515625" style="79" customWidth="1"/>
    <col min="5656" max="5656" width="11.140625" style="79" customWidth="1"/>
    <col min="5657" max="5657" width="12.28515625" style="79" customWidth="1"/>
    <col min="5658" max="5658" width="2.7109375" style="79" customWidth="1"/>
    <col min="5659" max="5659" width="8.28515625" style="79" customWidth="1"/>
    <col min="5660" max="5660" width="7.42578125" style="79" customWidth="1"/>
    <col min="5661" max="5661" width="8.42578125" style="79" customWidth="1"/>
    <col min="5662" max="5662" width="12.140625" style="79" customWidth="1"/>
    <col min="5663" max="5663" width="4" style="79" customWidth="1"/>
    <col min="5664" max="5888" width="9.140625" style="79"/>
    <col min="5889" max="5889" width="1.85546875" style="79" customWidth="1"/>
    <col min="5890" max="5890" width="4.7109375" style="79" customWidth="1"/>
    <col min="5891" max="5891" width="2" style="79" customWidth="1"/>
    <col min="5892" max="5892" width="10" style="79" customWidth="1"/>
    <col min="5893" max="5893" width="8.140625" style="79" customWidth="1"/>
    <col min="5894" max="5894" width="10.5703125" style="79" customWidth="1"/>
    <col min="5895" max="5895" width="8.7109375" style="79" customWidth="1"/>
    <col min="5896" max="5896" width="3.7109375" style="79" customWidth="1"/>
    <col min="5897" max="5897" width="13.140625" style="79" customWidth="1"/>
    <col min="5898" max="5898" width="14.28515625" style="79" customWidth="1"/>
    <col min="5899" max="5899" width="3.7109375" style="79" customWidth="1"/>
    <col min="5900" max="5900" width="0" style="79" hidden="1" customWidth="1"/>
    <col min="5901" max="5902" width="20" style="79" customWidth="1"/>
    <col min="5903" max="5903" width="2.140625" style="79" customWidth="1"/>
    <col min="5904" max="5904" width="13.28515625" style="79" customWidth="1"/>
    <col min="5905" max="5905" width="13.85546875" style="79" customWidth="1"/>
    <col min="5906" max="5906" width="2.5703125" style="79" customWidth="1"/>
    <col min="5907" max="5907" width="12.7109375" style="79" customWidth="1"/>
    <col min="5908" max="5908" width="13.140625" style="79" customWidth="1"/>
    <col min="5909" max="5909" width="2.85546875" style="79" customWidth="1"/>
    <col min="5910" max="5910" width="5.5703125" style="79" customWidth="1"/>
    <col min="5911" max="5911" width="8.28515625" style="79" customWidth="1"/>
    <col min="5912" max="5912" width="11.140625" style="79" customWidth="1"/>
    <col min="5913" max="5913" width="12.28515625" style="79" customWidth="1"/>
    <col min="5914" max="5914" width="2.7109375" style="79" customWidth="1"/>
    <col min="5915" max="5915" width="8.28515625" style="79" customWidth="1"/>
    <col min="5916" max="5916" width="7.42578125" style="79" customWidth="1"/>
    <col min="5917" max="5917" width="8.42578125" style="79" customWidth="1"/>
    <col min="5918" max="5918" width="12.140625" style="79" customWidth="1"/>
    <col min="5919" max="5919" width="4" style="79" customWidth="1"/>
    <col min="5920" max="6144" width="9.140625" style="79"/>
    <col min="6145" max="6145" width="1.85546875" style="79" customWidth="1"/>
    <col min="6146" max="6146" width="4.7109375" style="79" customWidth="1"/>
    <col min="6147" max="6147" width="2" style="79" customWidth="1"/>
    <col min="6148" max="6148" width="10" style="79" customWidth="1"/>
    <col min="6149" max="6149" width="8.140625" style="79" customWidth="1"/>
    <col min="6150" max="6150" width="10.5703125" style="79" customWidth="1"/>
    <col min="6151" max="6151" width="8.7109375" style="79" customWidth="1"/>
    <col min="6152" max="6152" width="3.7109375" style="79" customWidth="1"/>
    <col min="6153" max="6153" width="13.140625" style="79" customWidth="1"/>
    <col min="6154" max="6154" width="14.28515625" style="79" customWidth="1"/>
    <col min="6155" max="6155" width="3.7109375" style="79" customWidth="1"/>
    <col min="6156" max="6156" width="0" style="79" hidden="1" customWidth="1"/>
    <col min="6157" max="6158" width="20" style="79" customWidth="1"/>
    <col min="6159" max="6159" width="2.140625" style="79" customWidth="1"/>
    <col min="6160" max="6160" width="13.28515625" style="79" customWidth="1"/>
    <col min="6161" max="6161" width="13.85546875" style="79" customWidth="1"/>
    <col min="6162" max="6162" width="2.5703125" style="79" customWidth="1"/>
    <col min="6163" max="6163" width="12.7109375" style="79" customWidth="1"/>
    <col min="6164" max="6164" width="13.140625" style="79" customWidth="1"/>
    <col min="6165" max="6165" width="2.85546875" style="79" customWidth="1"/>
    <col min="6166" max="6166" width="5.5703125" style="79" customWidth="1"/>
    <col min="6167" max="6167" width="8.28515625" style="79" customWidth="1"/>
    <col min="6168" max="6168" width="11.140625" style="79" customWidth="1"/>
    <col min="6169" max="6169" width="12.28515625" style="79" customWidth="1"/>
    <col min="6170" max="6170" width="2.7109375" style="79" customWidth="1"/>
    <col min="6171" max="6171" width="8.28515625" style="79" customWidth="1"/>
    <col min="6172" max="6172" width="7.42578125" style="79" customWidth="1"/>
    <col min="6173" max="6173" width="8.42578125" style="79" customWidth="1"/>
    <col min="6174" max="6174" width="12.140625" style="79" customWidth="1"/>
    <col min="6175" max="6175" width="4" style="79" customWidth="1"/>
    <col min="6176" max="6400" width="9.140625" style="79"/>
    <col min="6401" max="6401" width="1.85546875" style="79" customWidth="1"/>
    <col min="6402" max="6402" width="4.7109375" style="79" customWidth="1"/>
    <col min="6403" max="6403" width="2" style="79" customWidth="1"/>
    <col min="6404" max="6404" width="10" style="79" customWidth="1"/>
    <col min="6405" max="6405" width="8.140625" style="79" customWidth="1"/>
    <col min="6406" max="6406" width="10.5703125" style="79" customWidth="1"/>
    <col min="6407" max="6407" width="8.7109375" style="79" customWidth="1"/>
    <col min="6408" max="6408" width="3.7109375" style="79" customWidth="1"/>
    <col min="6409" max="6409" width="13.140625" style="79" customWidth="1"/>
    <col min="6410" max="6410" width="14.28515625" style="79" customWidth="1"/>
    <col min="6411" max="6411" width="3.7109375" style="79" customWidth="1"/>
    <col min="6412" max="6412" width="0" style="79" hidden="1" customWidth="1"/>
    <col min="6413" max="6414" width="20" style="79" customWidth="1"/>
    <col min="6415" max="6415" width="2.140625" style="79" customWidth="1"/>
    <col min="6416" max="6416" width="13.28515625" style="79" customWidth="1"/>
    <col min="6417" max="6417" width="13.85546875" style="79" customWidth="1"/>
    <col min="6418" max="6418" width="2.5703125" style="79" customWidth="1"/>
    <col min="6419" max="6419" width="12.7109375" style="79" customWidth="1"/>
    <col min="6420" max="6420" width="13.140625" style="79" customWidth="1"/>
    <col min="6421" max="6421" width="2.85546875" style="79" customWidth="1"/>
    <col min="6422" max="6422" width="5.5703125" style="79" customWidth="1"/>
    <col min="6423" max="6423" width="8.28515625" style="79" customWidth="1"/>
    <col min="6424" max="6424" width="11.140625" style="79" customWidth="1"/>
    <col min="6425" max="6425" width="12.28515625" style="79" customWidth="1"/>
    <col min="6426" max="6426" width="2.7109375" style="79" customWidth="1"/>
    <col min="6427" max="6427" width="8.28515625" style="79" customWidth="1"/>
    <col min="6428" max="6428" width="7.42578125" style="79" customWidth="1"/>
    <col min="6429" max="6429" width="8.42578125" style="79" customWidth="1"/>
    <col min="6430" max="6430" width="12.140625" style="79" customWidth="1"/>
    <col min="6431" max="6431" width="4" style="79" customWidth="1"/>
    <col min="6432" max="6656" width="9.140625" style="79"/>
    <col min="6657" max="6657" width="1.85546875" style="79" customWidth="1"/>
    <col min="6658" max="6658" width="4.7109375" style="79" customWidth="1"/>
    <col min="6659" max="6659" width="2" style="79" customWidth="1"/>
    <col min="6660" max="6660" width="10" style="79" customWidth="1"/>
    <col min="6661" max="6661" width="8.140625" style="79" customWidth="1"/>
    <col min="6662" max="6662" width="10.5703125" style="79" customWidth="1"/>
    <col min="6663" max="6663" width="8.7109375" style="79" customWidth="1"/>
    <col min="6664" max="6664" width="3.7109375" style="79" customWidth="1"/>
    <col min="6665" max="6665" width="13.140625" style="79" customWidth="1"/>
    <col min="6666" max="6666" width="14.28515625" style="79" customWidth="1"/>
    <col min="6667" max="6667" width="3.7109375" style="79" customWidth="1"/>
    <col min="6668" max="6668" width="0" style="79" hidden="1" customWidth="1"/>
    <col min="6669" max="6670" width="20" style="79" customWidth="1"/>
    <col min="6671" max="6671" width="2.140625" style="79" customWidth="1"/>
    <col min="6672" max="6672" width="13.28515625" style="79" customWidth="1"/>
    <col min="6673" max="6673" width="13.85546875" style="79" customWidth="1"/>
    <col min="6674" max="6674" width="2.5703125" style="79" customWidth="1"/>
    <col min="6675" max="6675" width="12.7109375" style="79" customWidth="1"/>
    <col min="6676" max="6676" width="13.140625" style="79" customWidth="1"/>
    <col min="6677" max="6677" width="2.85546875" style="79" customWidth="1"/>
    <col min="6678" max="6678" width="5.5703125" style="79" customWidth="1"/>
    <col min="6679" max="6679" width="8.28515625" style="79" customWidth="1"/>
    <col min="6680" max="6680" width="11.140625" style="79" customWidth="1"/>
    <col min="6681" max="6681" width="12.28515625" style="79" customWidth="1"/>
    <col min="6682" max="6682" width="2.7109375" style="79" customWidth="1"/>
    <col min="6683" max="6683" width="8.28515625" style="79" customWidth="1"/>
    <col min="6684" max="6684" width="7.42578125" style="79" customWidth="1"/>
    <col min="6685" max="6685" width="8.42578125" style="79" customWidth="1"/>
    <col min="6686" max="6686" width="12.140625" style="79" customWidth="1"/>
    <col min="6687" max="6687" width="4" style="79" customWidth="1"/>
    <col min="6688" max="6912" width="9.140625" style="79"/>
    <col min="6913" max="6913" width="1.85546875" style="79" customWidth="1"/>
    <col min="6914" max="6914" width="4.7109375" style="79" customWidth="1"/>
    <col min="6915" max="6915" width="2" style="79" customWidth="1"/>
    <col min="6916" max="6916" width="10" style="79" customWidth="1"/>
    <col min="6917" max="6917" width="8.140625" style="79" customWidth="1"/>
    <col min="6918" max="6918" width="10.5703125" style="79" customWidth="1"/>
    <col min="6919" max="6919" width="8.7109375" style="79" customWidth="1"/>
    <col min="6920" max="6920" width="3.7109375" style="79" customWidth="1"/>
    <col min="6921" max="6921" width="13.140625" style="79" customWidth="1"/>
    <col min="6922" max="6922" width="14.28515625" style="79" customWidth="1"/>
    <col min="6923" max="6923" width="3.7109375" style="79" customWidth="1"/>
    <col min="6924" max="6924" width="0" style="79" hidden="1" customWidth="1"/>
    <col min="6925" max="6926" width="20" style="79" customWidth="1"/>
    <col min="6927" max="6927" width="2.140625" style="79" customWidth="1"/>
    <col min="6928" max="6928" width="13.28515625" style="79" customWidth="1"/>
    <col min="6929" max="6929" width="13.85546875" style="79" customWidth="1"/>
    <col min="6930" max="6930" width="2.5703125" style="79" customWidth="1"/>
    <col min="6931" max="6931" width="12.7109375" style="79" customWidth="1"/>
    <col min="6932" max="6932" width="13.140625" style="79" customWidth="1"/>
    <col min="6933" max="6933" width="2.85546875" style="79" customWidth="1"/>
    <col min="6934" max="6934" width="5.5703125" style="79" customWidth="1"/>
    <col min="6935" max="6935" width="8.28515625" style="79" customWidth="1"/>
    <col min="6936" max="6936" width="11.140625" style="79" customWidth="1"/>
    <col min="6937" max="6937" width="12.28515625" style="79" customWidth="1"/>
    <col min="6938" max="6938" width="2.7109375" style="79" customWidth="1"/>
    <col min="6939" max="6939" width="8.28515625" style="79" customWidth="1"/>
    <col min="6940" max="6940" width="7.42578125" style="79" customWidth="1"/>
    <col min="6941" max="6941" width="8.42578125" style="79" customWidth="1"/>
    <col min="6942" max="6942" width="12.140625" style="79" customWidth="1"/>
    <col min="6943" max="6943" width="4" style="79" customWidth="1"/>
    <col min="6944" max="7168" width="9.140625" style="79"/>
    <col min="7169" max="7169" width="1.85546875" style="79" customWidth="1"/>
    <col min="7170" max="7170" width="4.7109375" style="79" customWidth="1"/>
    <col min="7171" max="7171" width="2" style="79" customWidth="1"/>
    <col min="7172" max="7172" width="10" style="79" customWidth="1"/>
    <col min="7173" max="7173" width="8.140625" style="79" customWidth="1"/>
    <col min="7174" max="7174" width="10.5703125" style="79" customWidth="1"/>
    <col min="7175" max="7175" width="8.7109375" style="79" customWidth="1"/>
    <col min="7176" max="7176" width="3.7109375" style="79" customWidth="1"/>
    <col min="7177" max="7177" width="13.140625" style="79" customWidth="1"/>
    <col min="7178" max="7178" width="14.28515625" style="79" customWidth="1"/>
    <col min="7179" max="7179" width="3.7109375" style="79" customWidth="1"/>
    <col min="7180" max="7180" width="0" style="79" hidden="1" customWidth="1"/>
    <col min="7181" max="7182" width="20" style="79" customWidth="1"/>
    <col min="7183" max="7183" width="2.140625" style="79" customWidth="1"/>
    <col min="7184" max="7184" width="13.28515625" style="79" customWidth="1"/>
    <col min="7185" max="7185" width="13.85546875" style="79" customWidth="1"/>
    <col min="7186" max="7186" width="2.5703125" style="79" customWidth="1"/>
    <col min="7187" max="7187" width="12.7109375" style="79" customWidth="1"/>
    <col min="7188" max="7188" width="13.140625" style="79" customWidth="1"/>
    <col min="7189" max="7189" width="2.85546875" style="79" customWidth="1"/>
    <col min="7190" max="7190" width="5.5703125" style="79" customWidth="1"/>
    <col min="7191" max="7191" width="8.28515625" style="79" customWidth="1"/>
    <col min="7192" max="7192" width="11.140625" style="79" customWidth="1"/>
    <col min="7193" max="7193" width="12.28515625" style="79" customWidth="1"/>
    <col min="7194" max="7194" width="2.7109375" style="79" customWidth="1"/>
    <col min="7195" max="7195" width="8.28515625" style="79" customWidth="1"/>
    <col min="7196" max="7196" width="7.42578125" style="79" customWidth="1"/>
    <col min="7197" max="7197" width="8.42578125" style="79" customWidth="1"/>
    <col min="7198" max="7198" width="12.140625" style="79" customWidth="1"/>
    <col min="7199" max="7199" width="4" style="79" customWidth="1"/>
    <col min="7200" max="7424" width="9.140625" style="79"/>
    <col min="7425" max="7425" width="1.85546875" style="79" customWidth="1"/>
    <col min="7426" max="7426" width="4.7109375" style="79" customWidth="1"/>
    <col min="7427" max="7427" width="2" style="79" customWidth="1"/>
    <col min="7428" max="7428" width="10" style="79" customWidth="1"/>
    <col min="7429" max="7429" width="8.140625" style="79" customWidth="1"/>
    <col min="7430" max="7430" width="10.5703125" style="79" customWidth="1"/>
    <col min="7431" max="7431" width="8.7109375" style="79" customWidth="1"/>
    <col min="7432" max="7432" width="3.7109375" style="79" customWidth="1"/>
    <col min="7433" max="7433" width="13.140625" style="79" customWidth="1"/>
    <col min="7434" max="7434" width="14.28515625" style="79" customWidth="1"/>
    <col min="7435" max="7435" width="3.7109375" style="79" customWidth="1"/>
    <col min="7436" max="7436" width="0" style="79" hidden="1" customWidth="1"/>
    <col min="7437" max="7438" width="20" style="79" customWidth="1"/>
    <col min="7439" max="7439" width="2.140625" style="79" customWidth="1"/>
    <col min="7440" max="7440" width="13.28515625" style="79" customWidth="1"/>
    <col min="7441" max="7441" width="13.85546875" style="79" customWidth="1"/>
    <col min="7442" max="7442" width="2.5703125" style="79" customWidth="1"/>
    <col min="7443" max="7443" width="12.7109375" style="79" customWidth="1"/>
    <col min="7444" max="7444" width="13.140625" style="79" customWidth="1"/>
    <col min="7445" max="7445" width="2.85546875" style="79" customWidth="1"/>
    <col min="7446" max="7446" width="5.5703125" style="79" customWidth="1"/>
    <col min="7447" max="7447" width="8.28515625" style="79" customWidth="1"/>
    <col min="7448" max="7448" width="11.140625" style="79" customWidth="1"/>
    <col min="7449" max="7449" width="12.28515625" style="79" customWidth="1"/>
    <col min="7450" max="7450" width="2.7109375" style="79" customWidth="1"/>
    <col min="7451" max="7451" width="8.28515625" style="79" customWidth="1"/>
    <col min="7452" max="7452" width="7.42578125" style="79" customWidth="1"/>
    <col min="7453" max="7453" width="8.42578125" style="79" customWidth="1"/>
    <col min="7454" max="7454" width="12.140625" style="79" customWidth="1"/>
    <col min="7455" max="7455" width="4" style="79" customWidth="1"/>
    <col min="7456" max="7680" width="9.140625" style="79"/>
    <col min="7681" max="7681" width="1.85546875" style="79" customWidth="1"/>
    <col min="7682" max="7682" width="4.7109375" style="79" customWidth="1"/>
    <col min="7683" max="7683" width="2" style="79" customWidth="1"/>
    <col min="7684" max="7684" width="10" style="79" customWidth="1"/>
    <col min="7685" max="7685" width="8.140625" style="79" customWidth="1"/>
    <col min="7686" max="7686" width="10.5703125" style="79" customWidth="1"/>
    <col min="7687" max="7687" width="8.7109375" style="79" customWidth="1"/>
    <col min="7688" max="7688" width="3.7109375" style="79" customWidth="1"/>
    <col min="7689" max="7689" width="13.140625" style="79" customWidth="1"/>
    <col min="7690" max="7690" width="14.28515625" style="79" customWidth="1"/>
    <col min="7691" max="7691" width="3.7109375" style="79" customWidth="1"/>
    <col min="7692" max="7692" width="0" style="79" hidden="1" customWidth="1"/>
    <col min="7693" max="7694" width="20" style="79" customWidth="1"/>
    <col min="7695" max="7695" width="2.140625" style="79" customWidth="1"/>
    <col min="7696" max="7696" width="13.28515625" style="79" customWidth="1"/>
    <col min="7697" max="7697" width="13.85546875" style="79" customWidth="1"/>
    <col min="7698" max="7698" width="2.5703125" style="79" customWidth="1"/>
    <col min="7699" max="7699" width="12.7109375" style="79" customWidth="1"/>
    <col min="7700" max="7700" width="13.140625" style="79" customWidth="1"/>
    <col min="7701" max="7701" width="2.85546875" style="79" customWidth="1"/>
    <col min="7702" max="7702" width="5.5703125" style="79" customWidth="1"/>
    <col min="7703" max="7703" width="8.28515625" style="79" customWidth="1"/>
    <col min="7704" max="7704" width="11.140625" style="79" customWidth="1"/>
    <col min="7705" max="7705" width="12.28515625" style="79" customWidth="1"/>
    <col min="7706" max="7706" width="2.7109375" style="79" customWidth="1"/>
    <col min="7707" max="7707" width="8.28515625" style="79" customWidth="1"/>
    <col min="7708" max="7708" width="7.42578125" style="79" customWidth="1"/>
    <col min="7709" max="7709" width="8.42578125" style="79" customWidth="1"/>
    <col min="7710" max="7710" width="12.140625" style="79" customWidth="1"/>
    <col min="7711" max="7711" width="4" style="79" customWidth="1"/>
    <col min="7712" max="7936" width="9.140625" style="79"/>
    <col min="7937" max="7937" width="1.85546875" style="79" customWidth="1"/>
    <col min="7938" max="7938" width="4.7109375" style="79" customWidth="1"/>
    <col min="7939" max="7939" width="2" style="79" customWidth="1"/>
    <col min="7940" max="7940" width="10" style="79" customWidth="1"/>
    <col min="7941" max="7941" width="8.140625" style="79" customWidth="1"/>
    <col min="7942" max="7942" width="10.5703125" style="79" customWidth="1"/>
    <col min="7943" max="7943" width="8.7109375" style="79" customWidth="1"/>
    <col min="7944" max="7944" width="3.7109375" style="79" customWidth="1"/>
    <col min="7945" max="7945" width="13.140625" style="79" customWidth="1"/>
    <col min="7946" max="7946" width="14.28515625" style="79" customWidth="1"/>
    <col min="7947" max="7947" width="3.7109375" style="79" customWidth="1"/>
    <col min="7948" max="7948" width="0" style="79" hidden="1" customWidth="1"/>
    <col min="7949" max="7950" width="20" style="79" customWidth="1"/>
    <col min="7951" max="7951" width="2.140625" style="79" customWidth="1"/>
    <col min="7952" max="7952" width="13.28515625" style="79" customWidth="1"/>
    <col min="7953" max="7953" width="13.85546875" style="79" customWidth="1"/>
    <col min="7954" max="7954" width="2.5703125" style="79" customWidth="1"/>
    <col min="7955" max="7955" width="12.7109375" style="79" customWidth="1"/>
    <col min="7956" max="7956" width="13.140625" style="79" customWidth="1"/>
    <col min="7957" max="7957" width="2.85546875" style="79" customWidth="1"/>
    <col min="7958" max="7958" width="5.5703125" style="79" customWidth="1"/>
    <col min="7959" max="7959" width="8.28515625" style="79" customWidth="1"/>
    <col min="7960" max="7960" width="11.140625" style="79" customWidth="1"/>
    <col min="7961" max="7961" width="12.28515625" style="79" customWidth="1"/>
    <col min="7962" max="7962" width="2.7109375" style="79" customWidth="1"/>
    <col min="7963" max="7963" width="8.28515625" style="79" customWidth="1"/>
    <col min="7964" max="7964" width="7.42578125" style="79" customWidth="1"/>
    <col min="7965" max="7965" width="8.42578125" style="79" customWidth="1"/>
    <col min="7966" max="7966" width="12.140625" style="79" customWidth="1"/>
    <col min="7967" max="7967" width="4" style="79" customWidth="1"/>
    <col min="7968" max="8192" width="9.140625" style="79"/>
    <col min="8193" max="8193" width="1.85546875" style="79" customWidth="1"/>
    <col min="8194" max="8194" width="4.7109375" style="79" customWidth="1"/>
    <col min="8195" max="8195" width="2" style="79" customWidth="1"/>
    <col min="8196" max="8196" width="10" style="79" customWidth="1"/>
    <col min="8197" max="8197" width="8.140625" style="79" customWidth="1"/>
    <col min="8198" max="8198" width="10.5703125" style="79" customWidth="1"/>
    <col min="8199" max="8199" width="8.7109375" style="79" customWidth="1"/>
    <col min="8200" max="8200" width="3.7109375" style="79" customWidth="1"/>
    <col min="8201" max="8201" width="13.140625" style="79" customWidth="1"/>
    <col min="8202" max="8202" width="14.28515625" style="79" customWidth="1"/>
    <col min="8203" max="8203" width="3.7109375" style="79" customWidth="1"/>
    <col min="8204" max="8204" width="0" style="79" hidden="1" customWidth="1"/>
    <col min="8205" max="8206" width="20" style="79" customWidth="1"/>
    <col min="8207" max="8207" width="2.140625" style="79" customWidth="1"/>
    <col min="8208" max="8208" width="13.28515625" style="79" customWidth="1"/>
    <col min="8209" max="8209" width="13.85546875" style="79" customWidth="1"/>
    <col min="8210" max="8210" width="2.5703125" style="79" customWidth="1"/>
    <col min="8211" max="8211" width="12.7109375" style="79" customWidth="1"/>
    <col min="8212" max="8212" width="13.140625" style="79" customWidth="1"/>
    <col min="8213" max="8213" width="2.85546875" style="79" customWidth="1"/>
    <col min="8214" max="8214" width="5.5703125" style="79" customWidth="1"/>
    <col min="8215" max="8215" width="8.28515625" style="79" customWidth="1"/>
    <col min="8216" max="8216" width="11.140625" style="79" customWidth="1"/>
    <col min="8217" max="8217" width="12.28515625" style="79" customWidth="1"/>
    <col min="8218" max="8218" width="2.7109375" style="79" customWidth="1"/>
    <col min="8219" max="8219" width="8.28515625" style="79" customWidth="1"/>
    <col min="8220" max="8220" width="7.42578125" style="79" customWidth="1"/>
    <col min="8221" max="8221" width="8.42578125" style="79" customWidth="1"/>
    <col min="8222" max="8222" width="12.140625" style="79" customWidth="1"/>
    <col min="8223" max="8223" width="4" style="79" customWidth="1"/>
    <col min="8224" max="8448" width="9.140625" style="79"/>
    <col min="8449" max="8449" width="1.85546875" style="79" customWidth="1"/>
    <col min="8450" max="8450" width="4.7109375" style="79" customWidth="1"/>
    <col min="8451" max="8451" width="2" style="79" customWidth="1"/>
    <col min="8452" max="8452" width="10" style="79" customWidth="1"/>
    <col min="8453" max="8453" width="8.140625" style="79" customWidth="1"/>
    <col min="8454" max="8454" width="10.5703125" style="79" customWidth="1"/>
    <col min="8455" max="8455" width="8.7109375" style="79" customWidth="1"/>
    <col min="8456" max="8456" width="3.7109375" style="79" customWidth="1"/>
    <col min="8457" max="8457" width="13.140625" style="79" customWidth="1"/>
    <col min="8458" max="8458" width="14.28515625" style="79" customWidth="1"/>
    <col min="8459" max="8459" width="3.7109375" style="79" customWidth="1"/>
    <col min="8460" max="8460" width="0" style="79" hidden="1" customWidth="1"/>
    <col min="8461" max="8462" width="20" style="79" customWidth="1"/>
    <col min="8463" max="8463" width="2.140625" style="79" customWidth="1"/>
    <col min="8464" max="8464" width="13.28515625" style="79" customWidth="1"/>
    <col min="8465" max="8465" width="13.85546875" style="79" customWidth="1"/>
    <col min="8466" max="8466" width="2.5703125" style="79" customWidth="1"/>
    <col min="8467" max="8467" width="12.7109375" style="79" customWidth="1"/>
    <col min="8468" max="8468" width="13.140625" style="79" customWidth="1"/>
    <col min="8469" max="8469" width="2.85546875" style="79" customWidth="1"/>
    <col min="8470" max="8470" width="5.5703125" style="79" customWidth="1"/>
    <col min="8471" max="8471" width="8.28515625" style="79" customWidth="1"/>
    <col min="8472" max="8472" width="11.140625" style="79" customWidth="1"/>
    <col min="8473" max="8473" width="12.28515625" style="79" customWidth="1"/>
    <col min="8474" max="8474" width="2.7109375" style="79" customWidth="1"/>
    <col min="8475" max="8475" width="8.28515625" style="79" customWidth="1"/>
    <col min="8476" max="8476" width="7.42578125" style="79" customWidth="1"/>
    <col min="8477" max="8477" width="8.42578125" style="79" customWidth="1"/>
    <col min="8478" max="8478" width="12.140625" style="79" customWidth="1"/>
    <col min="8479" max="8479" width="4" style="79" customWidth="1"/>
    <col min="8480" max="8704" width="9.140625" style="79"/>
    <col min="8705" max="8705" width="1.85546875" style="79" customWidth="1"/>
    <col min="8706" max="8706" width="4.7109375" style="79" customWidth="1"/>
    <col min="8707" max="8707" width="2" style="79" customWidth="1"/>
    <col min="8708" max="8708" width="10" style="79" customWidth="1"/>
    <col min="8709" max="8709" width="8.140625" style="79" customWidth="1"/>
    <col min="8710" max="8710" width="10.5703125" style="79" customWidth="1"/>
    <col min="8711" max="8711" width="8.7109375" style="79" customWidth="1"/>
    <col min="8712" max="8712" width="3.7109375" style="79" customWidth="1"/>
    <col min="8713" max="8713" width="13.140625" style="79" customWidth="1"/>
    <col min="8714" max="8714" width="14.28515625" style="79" customWidth="1"/>
    <col min="8715" max="8715" width="3.7109375" style="79" customWidth="1"/>
    <col min="8716" max="8716" width="0" style="79" hidden="1" customWidth="1"/>
    <col min="8717" max="8718" width="20" style="79" customWidth="1"/>
    <col min="8719" max="8719" width="2.140625" style="79" customWidth="1"/>
    <col min="8720" max="8720" width="13.28515625" style="79" customWidth="1"/>
    <col min="8721" max="8721" width="13.85546875" style="79" customWidth="1"/>
    <col min="8722" max="8722" width="2.5703125" style="79" customWidth="1"/>
    <col min="8723" max="8723" width="12.7109375" style="79" customWidth="1"/>
    <col min="8724" max="8724" width="13.140625" style="79" customWidth="1"/>
    <col min="8725" max="8725" width="2.85546875" style="79" customWidth="1"/>
    <col min="8726" max="8726" width="5.5703125" style="79" customWidth="1"/>
    <col min="8727" max="8727" width="8.28515625" style="79" customWidth="1"/>
    <col min="8728" max="8728" width="11.140625" style="79" customWidth="1"/>
    <col min="8729" max="8729" width="12.28515625" style="79" customWidth="1"/>
    <col min="8730" max="8730" width="2.7109375" style="79" customWidth="1"/>
    <col min="8731" max="8731" width="8.28515625" style="79" customWidth="1"/>
    <col min="8732" max="8732" width="7.42578125" style="79" customWidth="1"/>
    <col min="8733" max="8733" width="8.42578125" style="79" customWidth="1"/>
    <col min="8734" max="8734" width="12.140625" style="79" customWidth="1"/>
    <col min="8735" max="8735" width="4" style="79" customWidth="1"/>
    <col min="8736" max="8960" width="9.140625" style="79"/>
    <col min="8961" max="8961" width="1.85546875" style="79" customWidth="1"/>
    <col min="8962" max="8962" width="4.7109375" style="79" customWidth="1"/>
    <col min="8963" max="8963" width="2" style="79" customWidth="1"/>
    <col min="8964" max="8964" width="10" style="79" customWidth="1"/>
    <col min="8965" max="8965" width="8.140625" style="79" customWidth="1"/>
    <col min="8966" max="8966" width="10.5703125" style="79" customWidth="1"/>
    <col min="8967" max="8967" width="8.7109375" style="79" customWidth="1"/>
    <col min="8968" max="8968" width="3.7109375" style="79" customWidth="1"/>
    <col min="8969" max="8969" width="13.140625" style="79" customWidth="1"/>
    <col min="8970" max="8970" width="14.28515625" style="79" customWidth="1"/>
    <col min="8971" max="8971" width="3.7109375" style="79" customWidth="1"/>
    <col min="8972" max="8972" width="0" style="79" hidden="1" customWidth="1"/>
    <col min="8973" max="8974" width="20" style="79" customWidth="1"/>
    <col min="8975" max="8975" width="2.140625" style="79" customWidth="1"/>
    <col min="8976" max="8976" width="13.28515625" style="79" customWidth="1"/>
    <col min="8977" max="8977" width="13.85546875" style="79" customWidth="1"/>
    <col min="8978" max="8978" width="2.5703125" style="79" customWidth="1"/>
    <col min="8979" max="8979" width="12.7109375" style="79" customWidth="1"/>
    <col min="8980" max="8980" width="13.140625" style="79" customWidth="1"/>
    <col min="8981" max="8981" width="2.85546875" style="79" customWidth="1"/>
    <col min="8982" max="8982" width="5.5703125" style="79" customWidth="1"/>
    <col min="8983" max="8983" width="8.28515625" style="79" customWidth="1"/>
    <col min="8984" max="8984" width="11.140625" style="79" customWidth="1"/>
    <col min="8985" max="8985" width="12.28515625" style="79" customWidth="1"/>
    <col min="8986" max="8986" width="2.7109375" style="79" customWidth="1"/>
    <col min="8987" max="8987" width="8.28515625" style="79" customWidth="1"/>
    <col min="8988" max="8988" width="7.42578125" style="79" customWidth="1"/>
    <col min="8989" max="8989" width="8.42578125" style="79" customWidth="1"/>
    <col min="8990" max="8990" width="12.140625" style="79" customWidth="1"/>
    <col min="8991" max="8991" width="4" style="79" customWidth="1"/>
    <col min="8992" max="9216" width="9.140625" style="79"/>
    <col min="9217" max="9217" width="1.85546875" style="79" customWidth="1"/>
    <col min="9218" max="9218" width="4.7109375" style="79" customWidth="1"/>
    <col min="9219" max="9219" width="2" style="79" customWidth="1"/>
    <col min="9220" max="9220" width="10" style="79" customWidth="1"/>
    <col min="9221" max="9221" width="8.140625" style="79" customWidth="1"/>
    <col min="9222" max="9222" width="10.5703125" style="79" customWidth="1"/>
    <col min="9223" max="9223" width="8.7109375" style="79" customWidth="1"/>
    <col min="9224" max="9224" width="3.7109375" style="79" customWidth="1"/>
    <col min="9225" max="9225" width="13.140625" style="79" customWidth="1"/>
    <col min="9226" max="9226" width="14.28515625" style="79" customWidth="1"/>
    <col min="9227" max="9227" width="3.7109375" style="79" customWidth="1"/>
    <col min="9228" max="9228" width="0" style="79" hidden="1" customWidth="1"/>
    <col min="9229" max="9230" width="20" style="79" customWidth="1"/>
    <col min="9231" max="9231" width="2.140625" style="79" customWidth="1"/>
    <col min="9232" max="9232" width="13.28515625" style="79" customWidth="1"/>
    <col min="9233" max="9233" width="13.85546875" style="79" customWidth="1"/>
    <col min="9234" max="9234" width="2.5703125" style="79" customWidth="1"/>
    <col min="9235" max="9235" width="12.7109375" style="79" customWidth="1"/>
    <col min="9236" max="9236" width="13.140625" style="79" customWidth="1"/>
    <col min="9237" max="9237" width="2.85546875" style="79" customWidth="1"/>
    <col min="9238" max="9238" width="5.5703125" style="79" customWidth="1"/>
    <col min="9239" max="9239" width="8.28515625" style="79" customWidth="1"/>
    <col min="9240" max="9240" width="11.140625" style="79" customWidth="1"/>
    <col min="9241" max="9241" width="12.28515625" style="79" customWidth="1"/>
    <col min="9242" max="9242" width="2.7109375" style="79" customWidth="1"/>
    <col min="9243" max="9243" width="8.28515625" style="79" customWidth="1"/>
    <col min="9244" max="9244" width="7.42578125" style="79" customWidth="1"/>
    <col min="9245" max="9245" width="8.42578125" style="79" customWidth="1"/>
    <col min="9246" max="9246" width="12.140625" style="79" customWidth="1"/>
    <col min="9247" max="9247" width="4" style="79" customWidth="1"/>
    <col min="9248" max="9472" width="9.140625" style="79"/>
    <col min="9473" max="9473" width="1.85546875" style="79" customWidth="1"/>
    <col min="9474" max="9474" width="4.7109375" style="79" customWidth="1"/>
    <col min="9475" max="9475" width="2" style="79" customWidth="1"/>
    <col min="9476" max="9476" width="10" style="79" customWidth="1"/>
    <col min="9477" max="9477" width="8.140625" style="79" customWidth="1"/>
    <col min="9478" max="9478" width="10.5703125" style="79" customWidth="1"/>
    <col min="9479" max="9479" width="8.7109375" style="79" customWidth="1"/>
    <col min="9480" max="9480" width="3.7109375" style="79" customWidth="1"/>
    <col min="9481" max="9481" width="13.140625" style="79" customWidth="1"/>
    <col min="9482" max="9482" width="14.28515625" style="79" customWidth="1"/>
    <col min="9483" max="9483" width="3.7109375" style="79" customWidth="1"/>
    <col min="9484" max="9484" width="0" style="79" hidden="1" customWidth="1"/>
    <col min="9485" max="9486" width="20" style="79" customWidth="1"/>
    <col min="9487" max="9487" width="2.140625" style="79" customWidth="1"/>
    <col min="9488" max="9488" width="13.28515625" style="79" customWidth="1"/>
    <col min="9489" max="9489" width="13.85546875" style="79" customWidth="1"/>
    <col min="9490" max="9490" width="2.5703125" style="79" customWidth="1"/>
    <col min="9491" max="9491" width="12.7109375" style="79" customWidth="1"/>
    <col min="9492" max="9492" width="13.140625" style="79" customWidth="1"/>
    <col min="9493" max="9493" width="2.85546875" style="79" customWidth="1"/>
    <col min="9494" max="9494" width="5.5703125" style="79" customWidth="1"/>
    <col min="9495" max="9495" width="8.28515625" style="79" customWidth="1"/>
    <col min="9496" max="9496" width="11.140625" style="79" customWidth="1"/>
    <col min="9497" max="9497" width="12.28515625" style="79" customWidth="1"/>
    <col min="9498" max="9498" width="2.7109375" style="79" customWidth="1"/>
    <col min="9499" max="9499" width="8.28515625" style="79" customWidth="1"/>
    <col min="9500" max="9500" width="7.42578125" style="79" customWidth="1"/>
    <col min="9501" max="9501" width="8.42578125" style="79" customWidth="1"/>
    <col min="9502" max="9502" width="12.140625" style="79" customWidth="1"/>
    <col min="9503" max="9503" width="4" style="79" customWidth="1"/>
    <col min="9504" max="9728" width="9.140625" style="79"/>
    <col min="9729" max="9729" width="1.85546875" style="79" customWidth="1"/>
    <col min="9730" max="9730" width="4.7109375" style="79" customWidth="1"/>
    <col min="9731" max="9731" width="2" style="79" customWidth="1"/>
    <col min="9732" max="9732" width="10" style="79" customWidth="1"/>
    <col min="9733" max="9733" width="8.140625" style="79" customWidth="1"/>
    <col min="9734" max="9734" width="10.5703125" style="79" customWidth="1"/>
    <col min="9735" max="9735" width="8.7109375" style="79" customWidth="1"/>
    <col min="9736" max="9736" width="3.7109375" style="79" customWidth="1"/>
    <col min="9737" max="9737" width="13.140625" style="79" customWidth="1"/>
    <col min="9738" max="9738" width="14.28515625" style="79" customWidth="1"/>
    <col min="9739" max="9739" width="3.7109375" style="79" customWidth="1"/>
    <col min="9740" max="9740" width="0" style="79" hidden="1" customWidth="1"/>
    <col min="9741" max="9742" width="20" style="79" customWidth="1"/>
    <col min="9743" max="9743" width="2.140625" style="79" customWidth="1"/>
    <col min="9744" max="9744" width="13.28515625" style="79" customWidth="1"/>
    <col min="9745" max="9745" width="13.85546875" style="79" customWidth="1"/>
    <col min="9746" max="9746" width="2.5703125" style="79" customWidth="1"/>
    <col min="9747" max="9747" width="12.7109375" style="79" customWidth="1"/>
    <col min="9748" max="9748" width="13.140625" style="79" customWidth="1"/>
    <col min="9749" max="9749" width="2.85546875" style="79" customWidth="1"/>
    <col min="9750" max="9750" width="5.5703125" style="79" customWidth="1"/>
    <col min="9751" max="9751" width="8.28515625" style="79" customWidth="1"/>
    <col min="9752" max="9752" width="11.140625" style="79" customWidth="1"/>
    <col min="9753" max="9753" width="12.28515625" style="79" customWidth="1"/>
    <col min="9754" max="9754" width="2.7109375" style="79" customWidth="1"/>
    <col min="9755" max="9755" width="8.28515625" style="79" customWidth="1"/>
    <col min="9756" max="9756" width="7.42578125" style="79" customWidth="1"/>
    <col min="9757" max="9757" width="8.42578125" style="79" customWidth="1"/>
    <col min="9758" max="9758" width="12.140625" style="79" customWidth="1"/>
    <col min="9759" max="9759" width="4" style="79" customWidth="1"/>
    <col min="9760" max="9984" width="9.140625" style="79"/>
    <col min="9985" max="9985" width="1.85546875" style="79" customWidth="1"/>
    <col min="9986" max="9986" width="4.7109375" style="79" customWidth="1"/>
    <col min="9987" max="9987" width="2" style="79" customWidth="1"/>
    <col min="9988" max="9988" width="10" style="79" customWidth="1"/>
    <col min="9989" max="9989" width="8.140625" style="79" customWidth="1"/>
    <col min="9990" max="9990" width="10.5703125" style="79" customWidth="1"/>
    <col min="9991" max="9991" width="8.7109375" style="79" customWidth="1"/>
    <col min="9992" max="9992" width="3.7109375" style="79" customWidth="1"/>
    <col min="9993" max="9993" width="13.140625" style="79" customWidth="1"/>
    <col min="9994" max="9994" width="14.28515625" style="79" customWidth="1"/>
    <col min="9995" max="9995" width="3.7109375" style="79" customWidth="1"/>
    <col min="9996" max="9996" width="0" style="79" hidden="1" customWidth="1"/>
    <col min="9997" max="9998" width="20" style="79" customWidth="1"/>
    <col min="9999" max="9999" width="2.140625" style="79" customWidth="1"/>
    <col min="10000" max="10000" width="13.28515625" style="79" customWidth="1"/>
    <col min="10001" max="10001" width="13.85546875" style="79" customWidth="1"/>
    <col min="10002" max="10002" width="2.5703125" style="79" customWidth="1"/>
    <col min="10003" max="10003" width="12.7109375" style="79" customWidth="1"/>
    <col min="10004" max="10004" width="13.140625" style="79" customWidth="1"/>
    <col min="10005" max="10005" width="2.85546875" style="79" customWidth="1"/>
    <col min="10006" max="10006" width="5.5703125" style="79" customWidth="1"/>
    <col min="10007" max="10007" width="8.28515625" style="79" customWidth="1"/>
    <col min="10008" max="10008" width="11.140625" style="79" customWidth="1"/>
    <col min="10009" max="10009" width="12.28515625" style="79" customWidth="1"/>
    <col min="10010" max="10010" width="2.7109375" style="79" customWidth="1"/>
    <col min="10011" max="10011" width="8.28515625" style="79" customWidth="1"/>
    <col min="10012" max="10012" width="7.42578125" style="79" customWidth="1"/>
    <col min="10013" max="10013" width="8.42578125" style="79" customWidth="1"/>
    <col min="10014" max="10014" width="12.140625" style="79" customWidth="1"/>
    <col min="10015" max="10015" width="4" style="79" customWidth="1"/>
    <col min="10016" max="10240" width="9.140625" style="79"/>
    <col min="10241" max="10241" width="1.85546875" style="79" customWidth="1"/>
    <col min="10242" max="10242" width="4.7109375" style="79" customWidth="1"/>
    <col min="10243" max="10243" width="2" style="79" customWidth="1"/>
    <col min="10244" max="10244" width="10" style="79" customWidth="1"/>
    <col min="10245" max="10245" width="8.140625" style="79" customWidth="1"/>
    <col min="10246" max="10246" width="10.5703125" style="79" customWidth="1"/>
    <col min="10247" max="10247" width="8.7109375" style="79" customWidth="1"/>
    <col min="10248" max="10248" width="3.7109375" style="79" customWidth="1"/>
    <col min="10249" max="10249" width="13.140625" style="79" customWidth="1"/>
    <col min="10250" max="10250" width="14.28515625" style="79" customWidth="1"/>
    <col min="10251" max="10251" width="3.7109375" style="79" customWidth="1"/>
    <col min="10252" max="10252" width="0" style="79" hidden="1" customWidth="1"/>
    <col min="10253" max="10254" width="20" style="79" customWidth="1"/>
    <col min="10255" max="10255" width="2.140625" style="79" customWidth="1"/>
    <col min="10256" max="10256" width="13.28515625" style="79" customWidth="1"/>
    <col min="10257" max="10257" width="13.85546875" style="79" customWidth="1"/>
    <col min="10258" max="10258" width="2.5703125" style="79" customWidth="1"/>
    <col min="10259" max="10259" width="12.7109375" style="79" customWidth="1"/>
    <col min="10260" max="10260" width="13.140625" style="79" customWidth="1"/>
    <col min="10261" max="10261" width="2.85546875" style="79" customWidth="1"/>
    <col min="10262" max="10262" width="5.5703125" style="79" customWidth="1"/>
    <col min="10263" max="10263" width="8.28515625" style="79" customWidth="1"/>
    <col min="10264" max="10264" width="11.140625" style="79" customWidth="1"/>
    <col min="10265" max="10265" width="12.28515625" style="79" customWidth="1"/>
    <col min="10266" max="10266" width="2.7109375" style="79" customWidth="1"/>
    <col min="10267" max="10267" width="8.28515625" style="79" customWidth="1"/>
    <col min="10268" max="10268" width="7.42578125" style="79" customWidth="1"/>
    <col min="10269" max="10269" width="8.42578125" style="79" customWidth="1"/>
    <col min="10270" max="10270" width="12.140625" style="79" customWidth="1"/>
    <col min="10271" max="10271" width="4" style="79" customWidth="1"/>
    <col min="10272" max="10496" width="9.140625" style="79"/>
    <col min="10497" max="10497" width="1.85546875" style="79" customWidth="1"/>
    <col min="10498" max="10498" width="4.7109375" style="79" customWidth="1"/>
    <col min="10499" max="10499" width="2" style="79" customWidth="1"/>
    <col min="10500" max="10500" width="10" style="79" customWidth="1"/>
    <col min="10501" max="10501" width="8.140625" style="79" customWidth="1"/>
    <col min="10502" max="10502" width="10.5703125" style="79" customWidth="1"/>
    <col min="10503" max="10503" width="8.7109375" style="79" customWidth="1"/>
    <col min="10504" max="10504" width="3.7109375" style="79" customWidth="1"/>
    <col min="10505" max="10505" width="13.140625" style="79" customWidth="1"/>
    <col min="10506" max="10506" width="14.28515625" style="79" customWidth="1"/>
    <col min="10507" max="10507" width="3.7109375" style="79" customWidth="1"/>
    <col min="10508" max="10508" width="0" style="79" hidden="1" customWidth="1"/>
    <col min="10509" max="10510" width="20" style="79" customWidth="1"/>
    <col min="10511" max="10511" width="2.140625" style="79" customWidth="1"/>
    <col min="10512" max="10512" width="13.28515625" style="79" customWidth="1"/>
    <col min="10513" max="10513" width="13.85546875" style="79" customWidth="1"/>
    <col min="10514" max="10514" width="2.5703125" style="79" customWidth="1"/>
    <col min="10515" max="10515" width="12.7109375" style="79" customWidth="1"/>
    <col min="10516" max="10516" width="13.140625" style="79" customWidth="1"/>
    <col min="10517" max="10517" width="2.85546875" style="79" customWidth="1"/>
    <col min="10518" max="10518" width="5.5703125" style="79" customWidth="1"/>
    <col min="10519" max="10519" width="8.28515625" style="79" customWidth="1"/>
    <col min="10520" max="10520" width="11.140625" style="79" customWidth="1"/>
    <col min="10521" max="10521" width="12.28515625" style="79" customWidth="1"/>
    <col min="10522" max="10522" width="2.7109375" style="79" customWidth="1"/>
    <col min="10523" max="10523" width="8.28515625" style="79" customWidth="1"/>
    <col min="10524" max="10524" width="7.42578125" style="79" customWidth="1"/>
    <col min="10525" max="10525" width="8.42578125" style="79" customWidth="1"/>
    <col min="10526" max="10526" width="12.140625" style="79" customWidth="1"/>
    <col min="10527" max="10527" width="4" style="79" customWidth="1"/>
    <col min="10528" max="10752" width="9.140625" style="79"/>
    <col min="10753" max="10753" width="1.85546875" style="79" customWidth="1"/>
    <col min="10754" max="10754" width="4.7109375" style="79" customWidth="1"/>
    <col min="10755" max="10755" width="2" style="79" customWidth="1"/>
    <col min="10756" max="10756" width="10" style="79" customWidth="1"/>
    <col min="10757" max="10757" width="8.140625" style="79" customWidth="1"/>
    <col min="10758" max="10758" width="10.5703125" style="79" customWidth="1"/>
    <col min="10759" max="10759" width="8.7109375" style="79" customWidth="1"/>
    <col min="10760" max="10760" width="3.7109375" style="79" customWidth="1"/>
    <col min="10761" max="10761" width="13.140625" style="79" customWidth="1"/>
    <col min="10762" max="10762" width="14.28515625" style="79" customWidth="1"/>
    <col min="10763" max="10763" width="3.7109375" style="79" customWidth="1"/>
    <col min="10764" max="10764" width="0" style="79" hidden="1" customWidth="1"/>
    <col min="10765" max="10766" width="20" style="79" customWidth="1"/>
    <col min="10767" max="10767" width="2.140625" style="79" customWidth="1"/>
    <col min="10768" max="10768" width="13.28515625" style="79" customWidth="1"/>
    <col min="10769" max="10769" width="13.85546875" style="79" customWidth="1"/>
    <col min="10770" max="10770" width="2.5703125" style="79" customWidth="1"/>
    <col min="10771" max="10771" width="12.7109375" style="79" customWidth="1"/>
    <col min="10772" max="10772" width="13.140625" style="79" customWidth="1"/>
    <col min="10773" max="10773" width="2.85546875" style="79" customWidth="1"/>
    <col min="10774" max="10774" width="5.5703125" style="79" customWidth="1"/>
    <col min="10775" max="10775" width="8.28515625" style="79" customWidth="1"/>
    <col min="10776" max="10776" width="11.140625" style="79" customWidth="1"/>
    <col min="10777" max="10777" width="12.28515625" style="79" customWidth="1"/>
    <col min="10778" max="10778" width="2.7109375" style="79" customWidth="1"/>
    <col min="10779" max="10779" width="8.28515625" style="79" customWidth="1"/>
    <col min="10780" max="10780" width="7.42578125" style="79" customWidth="1"/>
    <col min="10781" max="10781" width="8.42578125" style="79" customWidth="1"/>
    <col min="10782" max="10782" width="12.140625" style="79" customWidth="1"/>
    <col min="10783" max="10783" width="4" style="79" customWidth="1"/>
    <col min="10784" max="11008" width="9.140625" style="79"/>
    <col min="11009" max="11009" width="1.85546875" style="79" customWidth="1"/>
    <col min="11010" max="11010" width="4.7109375" style="79" customWidth="1"/>
    <col min="11011" max="11011" width="2" style="79" customWidth="1"/>
    <col min="11012" max="11012" width="10" style="79" customWidth="1"/>
    <col min="11013" max="11013" width="8.140625" style="79" customWidth="1"/>
    <col min="11014" max="11014" width="10.5703125" style="79" customWidth="1"/>
    <col min="11015" max="11015" width="8.7109375" style="79" customWidth="1"/>
    <col min="11016" max="11016" width="3.7109375" style="79" customWidth="1"/>
    <col min="11017" max="11017" width="13.140625" style="79" customWidth="1"/>
    <col min="11018" max="11018" width="14.28515625" style="79" customWidth="1"/>
    <col min="11019" max="11019" width="3.7109375" style="79" customWidth="1"/>
    <col min="11020" max="11020" width="0" style="79" hidden="1" customWidth="1"/>
    <col min="11021" max="11022" width="20" style="79" customWidth="1"/>
    <col min="11023" max="11023" width="2.140625" style="79" customWidth="1"/>
    <col min="11024" max="11024" width="13.28515625" style="79" customWidth="1"/>
    <col min="11025" max="11025" width="13.85546875" style="79" customWidth="1"/>
    <col min="11026" max="11026" width="2.5703125" style="79" customWidth="1"/>
    <col min="11027" max="11027" width="12.7109375" style="79" customWidth="1"/>
    <col min="11028" max="11028" width="13.140625" style="79" customWidth="1"/>
    <col min="11029" max="11029" width="2.85546875" style="79" customWidth="1"/>
    <col min="11030" max="11030" width="5.5703125" style="79" customWidth="1"/>
    <col min="11031" max="11031" width="8.28515625" style="79" customWidth="1"/>
    <col min="11032" max="11032" width="11.140625" style="79" customWidth="1"/>
    <col min="11033" max="11033" width="12.28515625" style="79" customWidth="1"/>
    <col min="11034" max="11034" width="2.7109375" style="79" customWidth="1"/>
    <col min="11035" max="11035" width="8.28515625" style="79" customWidth="1"/>
    <col min="11036" max="11036" width="7.42578125" style="79" customWidth="1"/>
    <col min="11037" max="11037" width="8.42578125" style="79" customWidth="1"/>
    <col min="11038" max="11038" width="12.140625" style="79" customWidth="1"/>
    <col min="11039" max="11039" width="4" style="79" customWidth="1"/>
    <col min="11040" max="11264" width="9.140625" style="79"/>
    <col min="11265" max="11265" width="1.85546875" style="79" customWidth="1"/>
    <col min="11266" max="11266" width="4.7109375" style="79" customWidth="1"/>
    <col min="11267" max="11267" width="2" style="79" customWidth="1"/>
    <col min="11268" max="11268" width="10" style="79" customWidth="1"/>
    <col min="11269" max="11269" width="8.140625" style="79" customWidth="1"/>
    <col min="11270" max="11270" width="10.5703125" style="79" customWidth="1"/>
    <col min="11271" max="11271" width="8.7109375" style="79" customWidth="1"/>
    <col min="11272" max="11272" width="3.7109375" style="79" customWidth="1"/>
    <col min="11273" max="11273" width="13.140625" style="79" customWidth="1"/>
    <col min="11274" max="11274" width="14.28515625" style="79" customWidth="1"/>
    <col min="11275" max="11275" width="3.7109375" style="79" customWidth="1"/>
    <col min="11276" max="11276" width="0" style="79" hidden="1" customWidth="1"/>
    <col min="11277" max="11278" width="20" style="79" customWidth="1"/>
    <col min="11279" max="11279" width="2.140625" style="79" customWidth="1"/>
    <col min="11280" max="11280" width="13.28515625" style="79" customWidth="1"/>
    <col min="11281" max="11281" width="13.85546875" style="79" customWidth="1"/>
    <col min="11282" max="11282" width="2.5703125" style="79" customWidth="1"/>
    <col min="11283" max="11283" width="12.7109375" style="79" customWidth="1"/>
    <col min="11284" max="11284" width="13.140625" style="79" customWidth="1"/>
    <col min="11285" max="11285" width="2.85546875" style="79" customWidth="1"/>
    <col min="11286" max="11286" width="5.5703125" style="79" customWidth="1"/>
    <col min="11287" max="11287" width="8.28515625" style="79" customWidth="1"/>
    <col min="11288" max="11288" width="11.140625" style="79" customWidth="1"/>
    <col min="11289" max="11289" width="12.28515625" style="79" customWidth="1"/>
    <col min="11290" max="11290" width="2.7109375" style="79" customWidth="1"/>
    <col min="11291" max="11291" width="8.28515625" style="79" customWidth="1"/>
    <col min="11292" max="11292" width="7.42578125" style="79" customWidth="1"/>
    <col min="11293" max="11293" width="8.42578125" style="79" customWidth="1"/>
    <col min="11294" max="11294" width="12.140625" style="79" customWidth="1"/>
    <col min="11295" max="11295" width="4" style="79" customWidth="1"/>
    <col min="11296" max="11520" width="9.140625" style="79"/>
    <col min="11521" max="11521" width="1.85546875" style="79" customWidth="1"/>
    <col min="11522" max="11522" width="4.7109375" style="79" customWidth="1"/>
    <col min="11523" max="11523" width="2" style="79" customWidth="1"/>
    <col min="11524" max="11524" width="10" style="79" customWidth="1"/>
    <col min="11525" max="11525" width="8.140625" style="79" customWidth="1"/>
    <col min="11526" max="11526" width="10.5703125" style="79" customWidth="1"/>
    <col min="11527" max="11527" width="8.7109375" style="79" customWidth="1"/>
    <col min="11528" max="11528" width="3.7109375" style="79" customWidth="1"/>
    <col min="11529" max="11529" width="13.140625" style="79" customWidth="1"/>
    <col min="11530" max="11530" width="14.28515625" style="79" customWidth="1"/>
    <col min="11531" max="11531" width="3.7109375" style="79" customWidth="1"/>
    <col min="11532" max="11532" width="0" style="79" hidden="1" customWidth="1"/>
    <col min="11533" max="11534" width="20" style="79" customWidth="1"/>
    <col min="11535" max="11535" width="2.140625" style="79" customWidth="1"/>
    <col min="11536" max="11536" width="13.28515625" style="79" customWidth="1"/>
    <col min="11537" max="11537" width="13.85546875" style="79" customWidth="1"/>
    <col min="11538" max="11538" width="2.5703125" style="79" customWidth="1"/>
    <col min="11539" max="11539" width="12.7109375" style="79" customWidth="1"/>
    <col min="11540" max="11540" width="13.140625" style="79" customWidth="1"/>
    <col min="11541" max="11541" width="2.85546875" style="79" customWidth="1"/>
    <col min="11542" max="11542" width="5.5703125" style="79" customWidth="1"/>
    <col min="11543" max="11543" width="8.28515625" style="79" customWidth="1"/>
    <col min="11544" max="11544" width="11.140625" style="79" customWidth="1"/>
    <col min="11545" max="11545" width="12.28515625" style="79" customWidth="1"/>
    <col min="11546" max="11546" width="2.7109375" style="79" customWidth="1"/>
    <col min="11547" max="11547" width="8.28515625" style="79" customWidth="1"/>
    <col min="11548" max="11548" width="7.42578125" style="79" customWidth="1"/>
    <col min="11549" max="11549" width="8.42578125" style="79" customWidth="1"/>
    <col min="11550" max="11550" width="12.140625" style="79" customWidth="1"/>
    <col min="11551" max="11551" width="4" style="79" customWidth="1"/>
    <col min="11552" max="11776" width="9.140625" style="79"/>
    <col min="11777" max="11777" width="1.85546875" style="79" customWidth="1"/>
    <col min="11778" max="11778" width="4.7109375" style="79" customWidth="1"/>
    <col min="11779" max="11779" width="2" style="79" customWidth="1"/>
    <col min="11780" max="11780" width="10" style="79" customWidth="1"/>
    <col min="11781" max="11781" width="8.140625" style="79" customWidth="1"/>
    <col min="11782" max="11782" width="10.5703125" style="79" customWidth="1"/>
    <col min="11783" max="11783" width="8.7109375" style="79" customWidth="1"/>
    <col min="11784" max="11784" width="3.7109375" style="79" customWidth="1"/>
    <col min="11785" max="11785" width="13.140625" style="79" customWidth="1"/>
    <col min="11786" max="11786" width="14.28515625" style="79" customWidth="1"/>
    <col min="11787" max="11787" width="3.7109375" style="79" customWidth="1"/>
    <col min="11788" max="11788" width="0" style="79" hidden="1" customWidth="1"/>
    <col min="11789" max="11790" width="20" style="79" customWidth="1"/>
    <col min="11791" max="11791" width="2.140625" style="79" customWidth="1"/>
    <col min="11792" max="11792" width="13.28515625" style="79" customWidth="1"/>
    <col min="11793" max="11793" width="13.85546875" style="79" customWidth="1"/>
    <col min="11794" max="11794" width="2.5703125" style="79" customWidth="1"/>
    <col min="11795" max="11795" width="12.7109375" style="79" customWidth="1"/>
    <col min="11796" max="11796" width="13.140625" style="79" customWidth="1"/>
    <col min="11797" max="11797" width="2.85546875" style="79" customWidth="1"/>
    <col min="11798" max="11798" width="5.5703125" style="79" customWidth="1"/>
    <col min="11799" max="11799" width="8.28515625" style="79" customWidth="1"/>
    <col min="11800" max="11800" width="11.140625" style="79" customWidth="1"/>
    <col min="11801" max="11801" width="12.28515625" style="79" customWidth="1"/>
    <col min="11802" max="11802" width="2.7109375" style="79" customWidth="1"/>
    <col min="11803" max="11803" width="8.28515625" style="79" customWidth="1"/>
    <col min="11804" max="11804" width="7.42578125" style="79" customWidth="1"/>
    <col min="11805" max="11805" width="8.42578125" style="79" customWidth="1"/>
    <col min="11806" max="11806" width="12.140625" style="79" customWidth="1"/>
    <col min="11807" max="11807" width="4" style="79" customWidth="1"/>
    <col min="11808" max="12032" width="9.140625" style="79"/>
    <col min="12033" max="12033" width="1.85546875" style="79" customWidth="1"/>
    <col min="12034" max="12034" width="4.7109375" style="79" customWidth="1"/>
    <col min="12035" max="12035" width="2" style="79" customWidth="1"/>
    <col min="12036" max="12036" width="10" style="79" customWidth="1"/>
    <col min="12037" max="12037" width="8.140625" style="79" customWidth="1"/>
    <col min="12038" max="12038" width="10.5703125" style="79" customWidth="1"/>
    <col min="12039" max="12039" width="8.7109375" style="79" customWidth="1"/>
    <col min="12040" max="12040" width="3.7109375" style="79" customWidth="1"/>
    <col min="12041" max="12041" width="13.140625" style="79" customWidth="1"/>
    <col min="12042" max="12042" width="14.28515625" style="79" customWidth="1"/>
    <col min="12043" max="12043" width="3.7109375" style="79" customWidth="1"/>
    <col min="12044" max="12044" width="0" style="79" hidden="1" customWidth="1"/>
    <col min="12045" max="12046" width="20" style="79" customWidth="1"/>
    <col min="12047" max="12047" width="2.140625" style="79" customWidth="1"/>
    <col min="12048" max="12048" width="13.28515625" style="79" customWidth="1"/>
    <col min="12049" max="12049" width="13.85546875" style="79" customWidth="1"/>
    <col min="12050" max="12050" width="2.5703125" style="79" customWidth="1"/>
    <col min="12051" max="12051" width="12.7109375" style="79" customWidth="1"/>
    <col min="12052" max="12052" width="13.140625" style="79" customWidth="1"/>
    <col min="12053" max="12053" width="2.85546875" style="79" customWidth="1"/>
    <col min="12054" max="12054" width="5.5703125" style="79" customWidth="1"/>
    <col min="12055" max="12055" width="8.28515625" style="79" customWidth="1"/>
    <col min="12056" max="12056" width="11.140625" style="79" customWidth="1"/>
    <col min="12057" max="12057" width="12.28515625" style="79" customWidth="1"/>
    <col min="12058" max="12058" width="2.7109375" style="79" customWidth="1"/>
    <col min="12059" max="12059" width="8.28515625" style="79" customWidth="1"/>
    <col min="12060" max="12060" width="7.42578125" style="79" customWidth="1"/>
    <col min="12061" max="12061" width="8.42578125" style="79" customWidth="1"/>
    <col min="12062" max="12062" width="12.140625" style="79" customWidth="1"/>
    <col min="12063" max="12063" width="4" style="79" customWidth="1"/>
    <col min="12064" max="12288" width="9.140625" style="79"/>
    <col min="12289" max="12289" width="1.85546875" style="79" customWidth="1"/>
    <col min="12290" max="12290" width="4.7109375" style="79" customWidth="1"/>
    <col min="12291" max="12291" width="2" style="79" customWidth="1"/>
    <col min="12292" max="12292" width="10" style="79" customWidth="1"/>
    <col min="12293" max="12293" width="8.140625" style="79" customWidth="1"/>
    <col min="12294" max="12294" width="10.5703125" style="79" customWidth="1"/>
    <col min="12295" max="12295" width="8.7109375" style="79" customWidth="1"/>
    <col min="12296" max="12296" width="3.7109375" style="79" customWidth="1"/>
    <col min="12297" max="12297" width="13.140625" style="79" customWidth="1"/>
    <col min="12298" max="12298" width="14.28515625" style="79" customWidth="1"/>
    <col min="12299" max="12299" width="3.7109375" style="79" customWidth="1"/>
    <col min="12300" max="12300" width="0" style="79" hidden="1" customWidth="1"/>
    <col min="12301" max="12302" width="20" style="79" customWidth="1"/>
    <col min="12303" max="12303" width="2.140625" style="79" customWidth="1"/>
    <col min="12304" max="12304" width="13.28515625" style="79" customWidth="1"/>
    <col min="12305" max="12305" width="13.85546875" style="79" customWidth="1"/>
    <col min="12306" max="12306" width="2.5703125" style="79" customWidth="1"/>
    <col min="12307" max="12307" width="12.7109375" style="79" customWidth="1"/>
    <col min="12308" max="12308" width="13.140625" style="79" customWidth="1"/>
    <col min="12309" max="12309" width="2.85546875" style="79" customWidth="1"/>
    <col min="12310" max="12310" width="5.5703125" style="79" customWidth="1"/>
    <col min="12311" max="12311" width="8.28515625" style="79" customWidth="1"/>
    <col min="12312" max="12312" width="11.140625" style="79" customWidth="1"/>
    <col min="12313" max="12313" width="12.28515625" style="79" customWidth="1"/>
    <col min="12314" max="12314" width="2.7109375" style="79" customWidth="1"/>
    <col min="12315" max="12315" width="8.28515625" style="79" customWidth="1"/>
    <col min="12316" max="12316" width="7.42578125" style="79" customWidth="1"/>
    <col min="12317" max="12317" width="8.42578125" style="79" customWidth="1"/>
    <col min="12318" max="12318" width="12.140625" style="79" customWidth="1"/>
    <col min="12319" max="12319" width="4" style="79" customWidth="1"/>
    <col min="12320" max="12544" width="9.140625" style="79"/>
    <col min="12545" max="12545" width="1.85546875" style="79" customWidth="1"/>
    <col min="12546" max="12546" width="4.7109375" style="79" customWidth="1"/>
    <col min="12547" max="12547" width="2" style="79" customWidth="1"/>
    <col min="12548" max="12548" width="10" style="79" customWidth="1"/>
    <col min="12549" max="12549" width="8.140625" style="79" customWidth="1"/>
    <col min="12550" max="12550" width="10.5703125" style="79" customWidth="1"/>
    <col min="12551" max="12551" width="8.7109375" style="79" customWidth="1"/>
    <col min="12552" max="12552" width="3.7109375" style="79" customWidth="1"/>
    <col min="12553" max="12553" width="13.140625" style="79" customWidth="1"/>
    <col min="12554" max="12554" width="14.28515625" style="79" customWidth="1"/>
    <col min="12555" max="12555" width="3.7109375" style="79" customWidth="1"/>
    <col min="12556" max="12556" width="0" style="79" hidden="1" customWidth="1"/>
    <col min="12557" max="12558" width="20" style="79" customWidth="1"/>
    <col min="12559" max="12559" width="2.140625" style="79" customWidth="1"/>
    <col min="12560" max="12560" width="13.28515625" style="79" customWidth="1"/>
    <col min="12561" max="12561" width="13.85546875" style="79" customWidth="1"/>
    <col min="12562" max="12562" width="2.5703125" style="79" customWidth="1"/>
    <col min="12563" max="12563" width="12.7109375" style="79" customWidth="1"/>
    <col min="12564" max="12564" width="13.140625" style="79" customWidth="1"/>
    <col min="12565" max="12565" width="2.85546875" style="79" customWidth="1"/>
    <col min="12566" max="12566" width="5.5703125" style="79" customWidth="1"/>
    <col min="12567" max="12567" width="8.28515625" style="79" customWidth="1"/>
    <col min="12568" max="12568" width="11.140625" style="79" customWidth="1"/>
    <col min="12569" max="12569" width="12.28515625" style="79" customWidth="1"/>
    <col min="12570" max="12570" width="2.7109375" style="79" customWidth="1"/>
    <col min="12571" max="12571" width="8.28515625" style="79" customWidth="1"/>
    <col min="12572" max="12572" width="7.42578125" style="79" customWidth="1"/>
    <col min="12573" max="12573" width="8.42578125" style="79" customWidth="1"/>
    <col min="12574" max="12574" width="12.140625" style="79" customWidth="1"/>
    <col min="12575" max="12575" width="4" style="79" customWidth="1"/>
    <col min="12576" max="12800" width="9.140625" style="79"/>
    <col min="12801" max="12801" width="1.85546875" style="79" customWidth="1"/>
    <col min="12802" max="12802" width="4.7109375" style="79" customWidth="1"/>
    <col min="12803" max="12803" width="2" style="79" customWidth="1"/>
    <col min="12804" max="12804" width="10" style="79" customWidth="1"/>
    <col min="12805" max="12805" width="8.140625" style="79" customWidth="1"/>
    <col min="12806" max="12806" width="10.5703125" style="79" customWidth="1"/>
    <col min="12807" max="12807" width="8.7109375" style="79" customWidth="1"/>
    <col min="12808" max="12808" width="3.7109375" style="79" customWidth="1"/>
    <col min="12809" max="12809" width="13.140625" style="79" customWidth="1"/>
    <col min="12810" max="12810" width="14.28515625" style="79" customWidth="1"/>
    <col min="12811" max="12811" width="3.7109375" style="79" customWidth="1"/>
    <col min="12812" max="12812" width="0" style="79" hidden="1" customWidth="1"/>
    <col min="12813" max="12814" width="20" style="79" customWidth="1"/>
    <col min="12815" max="12815" width="2.140625" style="79" customWidth="1"/>
    <col min="12816" max="12816" width="13.28515625" style="79" customWidth="1"/>
    <col min="12817" max="12817" width="13.85546875" style="79" customWidth="1"/>
    <col min="12818" max="12818" width="2.5703125" style="79" customWidth="1"/>
    <col min="12819" max="12819" width="12.7109375" style="79" customWidth="1"/>
    <col min="12820" max="12820" width="13.140625" style="79" customWidth="1"/>
    <col min="12821" max="12821" width="2.85546875" style="79" customWidth="1"/>
    <col min="12822" max="12822" width="5.5703125" style="79" customWidth="1"/>
    <col min="12823" max="12823" width="8.28515625" style="79" customWidth="1"/>
    <col min="12824" max="12824" width="11.140625" style="79" customWidth="1"/>
    <col min="12825" max="12825" width="12.28515625" style="79" customWidth="1"/>
    <col min="12826" max="12826" width="2.7109375" style="79" customWidth="1"/>
    <col min="12827" max="12827" width="8.28515625" style="79" customWidth="1"/>
    <col min="12828" max="12828" width="7.42578125" style="79" customWidth="1"/>
    <col min="12829" max="12829" width="8.42578125" style="79" customWidth="1"/>
    <col min="12830" max="12830" width="12.140625" style="79" customWidth="1"/>
    <col min="12831" max="12831" width="4" style="79" customWidth="1"/>
    <col min="12832" max="13056" width="9.140625" style="79"/>
    <col min="13057" max="13057" width="1.85546875" style="79" customWidth="1"/>
    <col min="13058" max="13058" width="4.7109375" style="79" customWidth="1"/>
    <col min="13059" max="13059" width="2" style="79" customWidth="1"/>
    <col min="13060" max="13060" width="10" style="79" customWidth="1"/>
    <col min="13061" max="13061" width="8.140625" style="79" customWidth="1"/>
    <col min="13062" max="13062" width="10.5703125" style="79" customWidth="1"/>
    <col min="13063" max="13063" width="8.7109375" style="79" customWidth="1"/>
    <col min="13064" max="13064" width="3.7109375" style="79" customWidth="1"/>
    <col min="13065" max="13065" width="13.140625" style="79" customWidth="1"/>
    <col min="13066" max="13066" width="14.28515625" style="79" customWidth="1"/>
    <col min="13067" max="13067" width="3.7109375" style="79" customWidth="1"/>
    <col min="13068" max="13068" width="0" style="79" hidden="1" customWidth="1"/>
    <col min="13069" max="13070" width="20" style="79" customWidth="1"/>
    <col min="13071" max="13071" width="2.140625" style="79" customWidth="1"/>
    <col min="13072" max="13072" width="13.28515625" style="79" customWidth="1"/>
    <col min="13073" max="13073" width="13.85546875" style="79" customWidth="1"/>
    <col min="13074" max="13074" width="2.5703125" style="79" customWidth="1"/>
    <col min="13075" max="13075" width="12.7109375" style="79" customWidth="1"/>
    <col min="13076" max="13076" width="13.140625" style="79" customWidth="1"/>
    <col min="13077" max="13077" width="2.85546875" style="79" customWidth="1"/>
    <col min="13078" max="13078" width="5.5703125" style="79" customWidth="1"/>
    <col min="13079" max="13079" width="8.28515625" style="79" customWidth="1"/>
    <col min="13080" max="13080" width="11.140625" style="79" customWidth="1"/>
    <col min="13081" max="13081" width="12.28515625" style="79" customWidth="1"/>
    <col min="13082" max="13082" width="2.7109375" style="79" customWidth="1"/>
    <col min="13083" max="13083" width="8.28515625" style="79" customWidth="1"/>
    <col min="13084" max="13084" width="7.42578125" style="79" customWidth="1"/>
    <col min="13085" max="13085" width="8.42578125" style="79" customWidth="1"/>
    <col min="13086" max="13086" width="12.140625" style="79" customWidth="1"/>
    <col min="13087" max="13087" width="4" style="79" customWidth="1"/>
    <col min="13088" max="13312" width="9.140625" style="79"/>
    <col min="13313" max="13313" width="1.85546875" style="79" customWidth="1"/>
    <col min="13314" max="13314" width="4.7109375" style="79" customWidth="1"/>
    <col min="13315" max="13315" width="2" style="79" customWidth="1"/>
    <col min="13316" max="13316" width="10" style="79" customWidth="1"/>
    <col min="13317" max="13317" width="8.140625" style="79" customWidth="1"/>
    <col min="13318" max="13318" width="10.5703125" style="79" customWidth="1"/>
    <col min="13319" max="13319" width="8.7109375" style="79" customWidth="1"/>
    <col min="13320" max="13320" width="3.7109375" style="79" customWidth="1"/>
    <col min="13321" max="13321" width="13.140625" style="79" customWidth="1"/>
    <col min="13322" max="13322" width="14.28515625" style="79" customWidth="1"/>
    <col min="13323" max="13323" width="3.7109375" style="79" customWidth="1"/>
    <col min="13324" max="13324" width="0" style="79" hidden="1" customWidth="1"/>
    <col min="13325" max="13326" width="20" style="79" customWidth="1"/>
    <col min="13327" max="13327" width="2.140625" style="79" customWidth="1"/>
    <col min="13328" max="13328" width="13.28515625" style="79" customWidth="1"/>
    <col min="13329" max="13329" width="13.85546875" style="79" customWidth="1"/>
    <col min="13330" max="13330" width="2.5703125" style="79" customWidth="1"/>
    <col min="13331" max="13331" width="12.7109375" style="79" customWidth="1"/>
    <col min="13332" max="13332" width="13.140625" style="79" customWidth="1"/>
    <col min="13333" max="13333" width="2.85546875" style="79" customWidth="1"/>
    <col min="13334" max="13334" width="5.5703125" style="79" customWidth="1"/>
    <col min="13335" max="13335" width="8.28515625" style="79" customWidth="1"/>
    <col min="13336" max="13336" width="11.140625" style="79" customWidth="1"/>
    <col min="13337" max="13337" width="12.28515625" style="79" customWidth="1"/>
    <col min="13338" max="13338" width="2.7109375" style="79" customWidth="1"/>
    <col min="13339" max="13339" width="8.28515625" style="79" customWidth="1"/>
    <col min="13340" max="13340" width="7.42578125" style="79" customWidth="1"/>
    <col min="13341" max="13341" width="8.42578125" style="79" customWidth="1"/>
    <col min="13342" max="13342" width="12.140625" style="79" customWidth="1"/>
    <col min="13343" max="13343" width="4" style="79" customWidth="1"/>
    <col min="13344" max="13568" width="9.140625" style="79"/>
    <col min="13569" max="13569" width="1.85546875" style="79" customWidth="1"/>
    <col min="13570" max="13570" width="4.7109375" style="79" customWidth="1"/>
    <col min="13571" max="13571" width="2" style="79" customWidth="1"/>
    <col min="13572" max="13572" width="10" style="79" customWidth="1"/>
    <col min="13573" max="13573" width="8.140625" style="79" customWidth="1"/>
    <col min="13574" max="13574" width="10.5703125" style="79" customWidth="1"/>
    <col min="13575" max="13575" width="8.7109375" style="79" customWidth="1"/>
    <col min="13576" max="13576" width="3.7109375" style="79" customWidth="1"/>
    <col min="13577" max="13577" width="13.140625" style="79" customWidth="1"/>
    <col min="13578" max="13578" width="14.28515625" style="79" customWidth="1"/>
    <col min="13579" max="13579" width="3.7109375" style="79" customWidth="1"/>
    <col min="13580" max="13580" width="0" style="79" hidden="1" customWidth="1"/>
    <col min="13581" max="13582" width="20" style="79" customWidth="1"/>
    <col min="13583" max="13583" width="2.140625" style="79" customWidth="1"/>
    <col min="13584" max="13584" width="13.28515625" style="79" customWidth="1"/>
    <col min="13585" max="13585" width="13.85546875" style="79" customWidth="1"/>
    <col min="13586" max="13586" width="2.5703125" style="79" customWidth="1"/>
    <col min="13587" max="13587" width="12.7109375" style="79" customWidth="1"/>
    <col min="13588" max="13588" width="13.140625" style="79" customWidth="1"/>
    <col min="13589" max="13589" width="2.85546875" style="79" customWidth="1"/>
    <col min="13590" max="13590" width="5.5703125" style="79" customWidth="1"/>
    <col min="13591" max="13591" width="8.28515625" style="79" customWidth="1"/>
    <col min="13592" max="13592" width="11.140625" style="79" customWidth="1"/>
    <col min="13593" max="13593" width="12.28515625" style="79" customWidth="1"/>
    <col min="13594" max="13594" width="2.7109375" style="79" customWidth="1"/>
    <col min="13595" max="13595" width="8.28515625" style="79" customWidth="1"/>
    <col min="13596" max="13596" width="7.42578125" style="79" customWidth="1"/>
    <col min="13597" max="13597" width="8.42578125" style="79" customWidth="1"/>
    <col min="13598" max="13598" width="12.140625" style="79" customWidth="1"/>
    <col min="13599" max="13599" width="4" style="79" customWidth="1"/>
    <col min="13600" max="13824" width="9.140625" style="79"/>
    <col min="13825" max="13825" width="1.85546875" style="79" customWidth="1"/>
    <col min="13826" max="13826" width="4.7109375" style="79" customWidth="1"/>
    <col min="13827" max="13827" width="2" style="79" customWidth="1"/>
    <col min="13828" max="13828" width="10" style="79" customWidth="1"/>
    <col min="13829" max="13829" width="8.140625" style="79" customWidth="1"/>
    <col min="13830" max="13830" width="10.5703125" style="79" customWidth="1"/>
    <col min="13831" max="13831" width="8.7109375" style="79" customWidth="1"/>
    <col min="13832" max="13832" width="3.7109375" style="79" customWidth="1"/>
    <col min="13833" max="13833" width="13.140625" style="79" customWidth="1"/>
    <col min="13834" max="13834" width="14.28515625" style="79" customWidth="1"/>
    <col min="13835" max="13835" width="3.7109375" style="79" customWidth="1"/>
    <col min="13836" max="13836" width="0" style="79" hidden="1" customWidth="1"/>
    <col min="13837" max="13838" width="20" style="79" customWidth="1"/>
    <col min="13839" max="13839" width="2.140625" style="79" customWidth="1"/>
    <col min="13840" max="13840" width="13.28515625" style="79" customWidth="1"/>
    <col min="13841" max="13841" width="13.85546875" style="79" customWidth="1"/>
    <col min="13842" max="13842" width="2.5703125" style="79" customWidth="1"/>
    <col min="13843" max="13843" width="12.7109375" style="79" customWidth="1"/>
    <col min="13844" max="13844" width="13.140625" style="79" customWidth="1"/>
    <col min="13845" max="13845" width="2.85546875" style="79" customWidth="1"/>
    <col min="13846" max="13846" width="5.5703125" style="79" customWidth="1"/>
    <col min="13847" max="13847" width="8.28515625" style="79" customWidth="1"/>
    <col min="13848" max="13848" width="11.140625" style="79" customWidth="1"/>
    <col min="13849" max="13849" width="12.28515625" style="79" customWidth="1"/>
    <col min="13850" max="13850" width="2.7109375" style="79" customWidth="1"/>
    <col min="13851" max="13851" width="8.28515625" style="79" customWidth="1"/>
    <col min="13852" max="13852" width="7.42578125" style="79" customWidth="1"/>
    <col min="13853" max="13853" width="8.42578125" style="79" customWidth="1"/>
    <col min="13854" max="13854" width="12.140625" style="79" customWidth="1"/>
    <col min="13855" max="13855" width="4" style="79" customWidth="1"/>
    <col min="13856" max="14080" width="9.140625" style="79"/>
    <col min="14081" max="14081" width="1.85546875" style="79" customWidth="1"/>
    <col min="14082" max="14082" width="4.7109375" style="79" customWidth="1"/>
    <col min="14083" max="14083" width="2" style="79" customWidth="1"/>
    <col min="14084" max="14084" width="10" style="79" customWidth="1"/>
    <col min="14085" max="14085" width="8.140625" style="79" customWidth="1"/>
    <col min="14086" max="14086" width="10.5703125" style="79" customWidth="1"/>
    <col min="14087" max="14087" width="8.7109375" style="79" customWidth="1"/>
    <col min="14088" max="14088" width="3.7109375" style="79" customWidth="1"/>
    <col min="14089" max="14089" width="13.140625" style="79" customWidth="1"/>
    <col min="14090" max="14090" width="14.28515625" style="79" customWidth="1"/>
    <col min="14091" max="14091" width="3.7109375" style="79" customWidth="1"/>
    <col min="14092" max="14092" width="0" style="79" hidden="1" customWidth="1"/>
    <col min="14093" max="14094" width="20" style="79" customWidth="1"/>
    <col min="14095" max="14095" width="2.140625" style="79" customWidth="1"/>
    <col min="14096" max="14096" width="13.28515625" style="79" customWidth="1"/>
    <col min="14097" max="14097" width="13.85546875" style="79" customWidth="1"/>
    <col min="14098" max="14098" width="2.5703125" style="79" customWidth="1"/>
    <col min="14099" max="14099" width="12.7109375" style="79" customWidth="1"/>
    <col min="14100" max="14100" width="13.140625" style="79" customWidth="1"/>
    <col min="14101" max="14101" width="2.85546875" style="79" customWidth="1"/>
    <col min="14102" max="14102" width="5.5703125" style="79" customWidth="1"/>
    <col min="14103" max="14103" width="8.28515625" style="79" customWidth="1"/>
    <col min="14104" max="14104" width="11.140625" style="79" customWidth="1"/>
    <col min="14105" max="14105" width="12.28515625" style="79" customWidth="1"/>
    <col min="14106" max="14106" width="2.7109375" style="79" customWidth="1"/>
    <col min="14107" max="14107" width="8.28515625" style="79" customWidth="1"/>
    <col min="14108" max="14108" width="7.42578125" style="79" customWidth="1"/>
    <col min="14109" max="14109" width="8.42578125" style="79" customWidth="1"/>
    <col min="14110" max="14110" width="12.140625" style="79" customWidth="1"/>
    <col min="14111" max="14111" width="4" style="79" customWidth="1"/>
    <col min="14112" max="14336" width="9.140625" style="79"/>
    <col min="14337" max="14337" width="1.85546875" style="79" customWidth="1"/>
    <col min="14338" max="14338" width="4.7109375" style="79" customWidth="1"/>
    <col min="14339" max="14339" width="2" style="79" customWidth="1"/>
    <col min="14340" max="14340" width="10" style="79" customWidth="1"/>
    <col min="14341" max="14341" width="8.140625" style="79" customWidth="1"/>
    <col min="14342" max="14342" width="10.5703125" style="79" customWidth="1"/>
    <col min="14343" max="14343" width="8.7109375" style="79" customWidth="1"/>
    <col min="14344" max="14344" width="3.7109375" style="79" customWidth="1"/>
    <col min="14345" max="14345" width="13.140625" style="79" customWidth="1"/>
    <col min="14346" max="14346" width="14.28515625" style="79" customWidth="1"/>
    <col min="14347" max="14347" width="3.7109375" style="79" customWidth="1"/>
    <col min="14348" max="14348" width="0" style="79" hidden="1" customWidth="1"/>
    <col min="14349" max="14350" width="20" style="79" customWidth="1"/>
    <col min="14351" max="14351" width="2.140625" style="79" customWidth="1"/>
    <col min="14352" max="14352" width="13.28515625" style="79" customWidth="1"/>
    <col min="14353" max="14353" width="13.85546875" style="79" customWidth="1"/>
    <col min="14354" max="14354" width="2.5703125" style="79" customWidth="1"/>
    <col min="14355" max="14355" width="12.7109375" style="79" customWidth="1"/>
    <col min="14356" max="14356" width="13.140625" style="79" customWidth="1"/>
    <col min="14357" max="14357" width="2.85546875" style="79" customWidth="1"/>
    <col min="14358" max="14358" width="5.5703125" style="79" customWidth="1"/>
    <col min="14359" max="14359" width="8.28515625" style="79" customWidth="1"/>
    <col min="14360" max="14360" width="11.140625" style="79" customWidth="1"/>
    <col min="14361" max="14361" width="12.28515625" style="79" customWidth="1"/>
    <col min="14362" max="14362" width="2.7109375" style="79" customWidth="1"/>
    <col min="14363" max="14363" width="8.28515625" style="79" customWidth="1"/>
    <col min="14364" max="14364" width="7.42578125" style="79" customWidth="1"/>
    <col min="14365" max="14365" width="8.42578125" style="79" customWidth="1"/>
    <col min="14366" max="14366" width="12.140625" style="79" customWidth="1"/>
    <col min="14367" max="14367" width="4" style="79" customWidth="1"/>
    <col min="14368" max="14592" width="9.140625" style="79"/>
    <col min="14593" max="14593" width="1.85546875" style="79" customWidth="1"/>
    <col min="14594" max="14594" width="4.7109375" style="79" customWidth="1"/>
    <col min="14595" max="14595" width="2" style="79" customWidth="1"/>
    <col min="14596" max="14596" width="10" style="79" customWidth="1"/>
    <col min="14597" max="14597" width="8.140625" style="79" customWidth="1"/>
    <col min="14598" max="14598" width="10.5703125" style="79" customWidth="1"/>
    <col min="14599" max="14599" width="8.7109375" style="79" customWidth="1"/>
    <col min="14600" max="14600" width="3.7109375" style="79" customWidth="1"/>
    <col min="14601" max="14601" width="13.140625" style="79" customWidth="1"/>
    <col min="14602" max="14602" width="14.28515625" style="79" customWidth="1"/>
    <col min="14603" max="14603" width="3.7109375" style="79" customWidth="1"/>
    <col min="14604" max="14604" width="0" style="79" hidden="1" customWidth="1"/>
    <col min="14605" max="14606" width="20" style="79" customWidth="1"/>
    <col min="14607" max="14607" width="2.140625" style="79" customWidth="1"/>
    <col min="14608" max="14608" width="13.28515625" style="79" customWidth="1"/>
    <col min="14609" max="14609" width="13.85546875" style="79" customWidth="1"/>
    <col min="14610" max="14610" width="2.5703125" style="79" customWidth="1"/>
    <col min="14611" max="14611" width="12.7109375" style="79" customWidth="1"/>
    <col min="14612" max="14612" width="13.140625" style="79" customWidth="1"/>
    <col min="14613" max="14613" width="2.85546875" style="79" customWidth="1"/>
    <col min="14614" max="14614" width="5.5703125" style="79" customWidth="1"/>
    <col min="14615" max="14615" width="8.28515625" style="79" customWidth="1"/>
    <col min="14616" max="14616" width="11.140625" style="79" customWidth="1"/>
    <col min="14617" max="14617" width="12.28515625" style="79" customWidth="1"/>
    <col min="14618" max="14618" width="2.7109375" style="79" customWidth="1"/>
    <col min="14619" max="14619" width="8.28515625" style="79" customWidth="1"/>
    <col min="14620" max="14620" width="7.42578125" style="79" customWidth="1"/>
    <col min="14621" max="14621" width="8.42578125" style="79" customWidth="1"/>
    <col min="14622" max="14622" width="12.140625" style="79" customWidth="1"/>
    <col min="14623" max="14623" width="4" style="79" customWidth="1"/>
    <col min="14624" max="14848" width="9.140625" style="79"/>
    <col min="14849" max="14849" width="1.85546875" style="79" customWidth="1"/>
    <col min="14850" max="14850" width="4.7109375" style="79" customWidth="1"/>
    <col min="14851" max="14851" width="2" style="79" customWidth="1"/>
    <col min="14852" max="14852" width="10" style="79" customWidth="1"/>
    <col min="14853" max="14853" width="8.140625" style="79" customWidth="1"/>
    <col min="14854" max="14854" width="10.5703125" style="79" customWidth="1"/>
    <col min="14855" max="14855" width="8.7109375" style="79" customWidth="1"/>
    <col min="14856" max="14856" width="3.7109375" style="79" customWidth="1"/>
    <col min="14857" max="14857" width="13.140625" style="79" customWidth="1"/>
    <col min="14858" max="14858" width="14.28515625" style="79" customWidth="1"/>
    <col min="14859" max="14859" width="3.7109375" style="79" customWidth="1"/>
    <col min="14860" max="14860" width="0" style="79" hidden="1" customWidth="1"/>
    <col min="14861" max="14862" width="20" style="79" customWidth="1"/>
    <col min="14863" max="14863" width="2.140625" style="79" customWidth="1"/>
    <col min="14864" max="14864" width="13.28515625" style="79" customWidth="1"/>
    <col min="14865" max="14865" width="13.85546875" style="79" customWidth="1"/>
    <col min="14866" max="14866" width="2.5703125" style="79" customWidth="1"/>
    <col min="14867" max="14867" width="12.7109375" style="79" customWidth="1"/>
    <col min="14868" max="14868" width="13.140625" style="79" customWidth="1"/>
    <col min="14869" max="14869" width="2.85546875" style="79" customWidth="1"/>
    <col min="14870" max="14870" width="5.5703125" style="79" customWidth="1"/>
    <col min="14871" max="14871" width="8.28515625" style="79" customWidth="1"/>
    <col min="14872" max="14872" width="11.140625" style="79" customWidth="1"/>
    <col min="14873" max="14873" width="12.28515625" style="79" customWidth="1"/>
    <col min="14874" max="14874" width="2.7109375" style="79" customWidth="1"/>
    <col min="14875" max="14875" width="8.28515625" style="79" customWidth="1"/>
    <col min="14876" max="14876" width="7.42578125" style="79" customWidth="1"/>
    <col min="14877" max="14877" width="8.42578125" style="79" customWidth="1"/>
    <col min="14878" max="14878" width="12.140625" style="79" customWidth="1"/>
    <col min="14879" max="14879" width="4" style="79" customWidth="1"/>
    <col min="14880" max="15104" width="9.140625" style="79"/>
    <col min="15105" max="15105" width="1.85546875" style="79" customWidth="1"/>
    <col min="15106" max="15106" width="4.7109375" style="79" customWidth="1"/>
    <col min="15107" max="15107" width="2" style="79" customWidth="1"/>
    <col min="15108" max="15108" width="10" style="79" customWidth="1"/>
    <col min="15109" max="15109" width="8.140625" style="79" customWidth="1"/>
    <col min="15110" max="15110" width="10.5703125" style="79" customWidth="1"/>
    <col min="15111" max="15111" width="8.7109375" style="79" customWidth="1"/>
    <col min="15112" max="15112" width="3.7109375" style="79" customWidth="1"/>
    <col min="15113" max="15113" width="13.140625" style="79" customWidth="1"/>
    <col min="15114" max="15114" width="14.28515625" style="79" customWidth="1"/>
    <col min="15115" max="15115" width="3.7109375" style="79" customWidth="1"/>
    <col min="15116" max="15116" width="0" style="79" hidden="1" customWidth="1"/>
    <col min="15117" max="15118" width="20" style="79" customWidth="1"/>
    <col min="15119" max="15119" width="2.140625" style="79" customWidth="1"/>
    <col min="15120" max="15120" width="13.28515625" style="79" customWidth="1"/>
    <col min="15121" max="15121" width="13.85546875" style="79" customWidth="1"/>
    <col min="15122" max="15122" width="2.5703125" style="79" customWidth="1"/>
    <col min="15123" max="15123" width="12.7109375" style="79" customWidth="1"/>
    <col min="15124" max="15124" width="13.140625" style="79" customWidth="1"/>
    <col min="15125" max="15125" width="2.85546875" style="79" customWidth="1"/>
    <col min="15126" max="15126" width="5.5703125" style="79" customWidth="1"/>
    <col min="15127" max="15127" width="8.28515625" style="79" customWidth="1"/>
    <col min="15128" max="15128" width="11.140625" style="79" customWidth="1"/>
    <col min="15129" max="15129" width="12.28515625" style="79" customWidth="1"/>
    <col min="15130" max="15130" width="2.7109375" style="79" customWidth="1"/>
    <col min="15131" max="15131" width="8.28515625" style="79" customWidth="1"/>
    <col min="15132" max="15132" width="7.42578125" style="79" customWidth="1"/>
    <col min="15133" max="15133" width="8.42578125" style="79" customWidth="1"/>
    <col min="15134" max="15134" width="12.140625" style="79" customWidth="1"/>
    <col min="15135" max="15135" width="4" style="79" customWidth="1"/>
    <col min="15136" max="15360" width="9.140625" style="79"/>
    <col min="15361" max="15361" width="1.85546875" style="79" customWidth="1"/>
    <col min="15362" max="15362" width="4.7109375" style="79" customWidth="1"/>
    <col min="15363" max="15363" width="2" style="79" customWidth="1"/>
    <col min="15364" max="15364" width="10" style="79" customWidth="1"/>
    <col min="15365" max="15365" width="8.140625" style="79" customWidth="1"/>
    <col min="15366" max="15366" width="10.5703125" style="79" customWidth="1"/>
    <col min="15367" max="15367" width="8.7109375" style="79" customWidth="1"/>
    <col min="15368" max="15368" width="3.7109375" style="79" customWidth="1"/>
    <col min="15369" max="15369" width="13.140625" style="79" customWidth="1"/>
    <col min="15370" max="15370" width="14.28515625" style="79" customWidth="1"/>
    <col min="15371" max="15371" width="3.7109375" style="79" customWidth="1"/>
    <col min="15372" max="15372" width="0" style="79" hidden="1" customWidth="1"/>
    <col min="15373" max="15374" width="20" style="79" customWidth="1"/>
    <col min="15375" max="15375" width="2.140625" style="79" customWidth="1"/>
    <col min="15376" max="15376" width="13.28515625" style="79" customWidth="1"/>
    <col min="15377" max="15377" width="13.85546875" style="79" customWidth="1"/>
    <col min="15378" max="15378" width="2.5703125" style="79" customWidth="1"/>
    <col min="15379" max="15379" width="12.7109375" style="79" customWidth="1"/>
    <col min="15380" max="15380" width="13.140625" style="79" customWidth="1"/>
    <col min="15381" max="15381" width="2.85546875" style="79" customWidth="1"/>
    <col min="15382" max="15382" width="5.5703125" style="79" customWidth="1"/>
    <col min="15383" max="15383" width="8.28515625" style="79" customWidth="1"/>
    <col min="15384" max="15384" width="11.140625" style="79" customWidth="1"/>
    <col min="15385" max="15385" width="12.28515625" style="79" customWidth="1"/>
    <col min="15386" max="15386" width="2.7109375" style="79" customWidth="1"/>
    <col min="15387" max="15387" width="8.28515625" style="79" customWidth="1"/>
    <col min="15388" max="15388" width="7.42578125" style="79" customWidth="1"/>
    <col min="15389" max="15389" width="8.42578125" style="79" customWidth="1"/>
    <col min="15390" max="15390" width="12.140625" style="79" customWidth="1"/>
    <col min="15391" max="15391" width="4" style="79" customWidth="1"/>
    <col min="15392" max="15616" width="9.140625" style="79"/>
    <col min="15617" max="15617" width="1.85546875" style="79" customWidth="1"/>
    <col min="15618" max="15618" width="4.7109375" style="79" customWidth="1"/>
    <col min="15619" max="15619" width="2" style="79" customWidth="1"/>
    <col min="15620" max="15620" width="10" style="79" customWidth="1"/>
    <col min="15621" max="15621" width="8.140625" style="79" customWidth="1"/>
    <col min="15622" max="15622" width="10.5703125" style="79" customWidth="1"/>
    <col min="15623" max="15623" width="8.7109375" style="79" customWidth="1"/>
    <col min="15624" max="15624" width="3.7109375" style="79" customWidth="1"/>
    <col min="15625" max="15625" width="13.140625" style="79" customWidth="1"/>
    <col min="15626" max="15626" width="14.28515625" style="79" customWidth="1"/>
    <col min="15627" max="15627" width="3.7109375" style="79" customWidth="1"/>
    <col min="15628" max="15628" width="0" style="79" hidden="1" customWidth="1"/>
    <col min="15629" max="15630" width="20" style="79" customWidth="1"/>
    <col min="15631" max="15631" width="2.140625" style="79" customWidth="1"/>
    <col min="15632" max="15632" width="13.28515625" style="79" customWidth="1"/>
    <col min="15633" max="15633" width="13.85546875" style="79" customWidth="1"/>
    <col min="15634" max="15634" width="2.5703125" style="79" customWidth="1"/>
    <col min="15635" max="15635" width="12.7109375" style="79" customWidth="1"/>
    <col min="15636" max="15636" width="13.140625" style="79" customWidth="1"/>
    <col min="15637" max="15637" width="2.85546875" style="79" customWidth="1"/>
    <col min="15638" max="15638" width="5.5703125" style="79" customWidth="1"/>
    <col min="15639" max="15639" width="8.28515625" style="79" customWidth="1"/>
    <col min="15640" max="15640" width="11.140625" style="79" customWidth="1"/>
    <col min="15641" max="15641" width="12.28515625" style="79" customWidth="1"/>
    <col min="15642" max="15642" width="2.7109375" style="79" customWidth="1"/>
    <col min="15643" max="15643" width="8.28515625" style="79" customWidth="1"/>
    <col min="15644" max="15644" width="7.42578125" style="79" customWidth="1"/>
    <col min="15645" max="15645" width="8.42578125" style="79" customWidth="1"/>
    <col min="15646" max="15646" width="12.140625" style="79" customWidth="1"/>
    <col min="15647" max="15647" width="4" style="79" customWidth="1"/>
    <col min="15648" max="15872" width="9.140625" style="79"/>
    <col min="15873" max="15873" width="1.85546875" style="79" customWidth="1"/>
    <col min="15874" max="15874" width="4.7109375" style="79" customWidth="1"/>
    <col min="15875" max="15875" width="2" style="79" customWidth="1"/>
    <col min="15876" max="15876" width="10" style="79" customWidth="1"/>
    <col min="15877" max="15877" width="8.140625" style="79" customWidth="1"/>
    <col min="15878" max="15878" width="10.5703125" style="79" customWidth="1"/>
    <col min="15879" max="15879" width="8.7109375" style="79" customWidth="1"/>
    <col min="15880" max="15880" width="3.7109375" style="79" customWidth="1"/>
    <col min="15881" max="15881" width="13.140625" style="79" customWidth="1"/>
    <col min="15882" max="15882" width="14.28515625" style="79" customWidth="1"/>
    <col min="15883" max="15883" width="3.7109375" style="79" customWidth="1"/>
    <col min="15884" max="15884" width="0" style="79" hidden="1" customWidth="1"/>
    <col min="15885" max="15886" width="20" style="79" customWidth="1"/>
    <col min="15887" max="15887" width="2.140625" style="79" customWidth="1"/>
    <col min="15888" max="15888" width="13.28515625" style="79" customWidth="1"/>
    <col min="15889" max="15889" width="13.85546875" style="79" customWidth="1"/>
    <col min="15890" max="15890" width="2.5703125" style="79" customWidth="1"/>
    <col min="15891" max="15891" width="12.7109375" style="79" customWidth="1"/>
    <col min="15892" max="15892" width="13.140625" style="79" customWidth="1"/>
    <col min="15893" max="15893" width="2.85546875" style="79" customWidth="1"/>
    <col min="15894" max="15894" width="5.5703125" style="79" customWidth="1"/>
    <col min="15895" max="15895" width="8.28515625" style="79" customWidth="1"/>
    <col min="15896" max="15896" width="11.140625" style="79" customWidth="1"/>
    <col min="15897" max="15897" width="12.28515625" style="79" customWidth="1"/>
    <col min="15898" max="15898" width="2.7109375" style="79" customWidth="1"/>
    <col min="15899" max="15899" width="8.28515625" style="79" customWidth="1"/>
    <col min="15900" max="15900" width="7.42578125" style="79" customWidth="1"/>
    <col min="15901" max="15901" width="8.42578125" style="79" customWidth="1"/>
    <col min="15902" max="15902" width="12.140625" style="79" customWidth="1"/>
    <col min="15903" max="15903" width="4" style="79" customWidth="1"/>
    <col min="15904" max="16128" width="9.140625" style="79"/>
    <col min="16129" max="16129" width="1.85546875" style="79" customWidth="1"/>
    <col min="16130" max="16130" width="4.7109375" style="79" customWidth="1"/>
    <col min="16131" max="16131" width="2" style="79" customWidth="1"/>
    <col min="16132" max="16132" width="10" style="79" customWidth="1"/>
    <col min="16133" max="16133" width="8.140625" style="79" customWidth="1"/>
    <col min="16134" max="16134" width="10.5703125" style="79" customWidth="1"/>
    <col min="16135" max="16135" width="8.7109375" style="79" customWidth="1"/>
    <col min="16136" max="16136" width="3.7109375" style="79" customWidth="1"/>
    <col min="16137" max="16137" width="13.140625" style="79" customWidth="1"/>
    <col min="16138" max="16138" width="14.28515625" style="79" customWidth="1"/>
    <col min="16139" max="16139" width="3.7109375" style="79" customWidth="1"/>
    <col min="16140" max="16140" width="0" style="79" hidden="1" customWidth="1"/>
    <col min="16141" max="16142" width="20" style="79" customWidth="1"/>
    <col min="16143" max="16143" width="2.140625" style="79" customWidth="1"/>
    <col min="16144" max="16144" width="13.28515625" style="79" customWidth="1"/>
    <col min="16145" max="16145" width="13.85546875" style="79" customWidth="1"/>
    <col min="16146" max="16146" width="2.5703125" style="79" customWidth="1"/>
    <col min="16147" max="16147" width="12.7109375" style="79" customWidth="1"/>
    <col min="16148" max="16148" width="13.140625" style="79" customWidth="1"/>
    <col min="16149" max="16149" width="2.85546875" style="79" customWidth="1"/>
    <col min="16150" max="16150" width="5.5703125" style="79" customWidth="1"/>
    <col min="16151" max="16151" width="8.28515625" style="79" customWidth="1"/>
    <col min="16152" max="16152" width="11.140625" style="79" customWidth="1"/>
    <col min="16153" max="16153" width="12.28515625" style="79" customWidth="1"/>
    <col min="16154" max="16154" width="2.7109375" style="79" customWidth="1"/>
    <col min="16155" max="16155" width="8.28515625" style="79" customWidth="1"/>
    <col min="16156" max="16156" width="7.42578125" style="79" customWidth="1"/>
    <col min="16157" max="16157" width="8.42578125" style="79" customWidth="1"/>
    <col min="16158" max="16158" width="12.140625" style="79" customWidth="1"/>
    <col min="16159" max="16159" width="4" style="79" customWidth="1"/>
    <col min="16160" max="16384" width="9.140625" style="79"/>
  </cols>
  <sheetData>
    <row r="1" spans="2:31" s="67" customFormat="1" ht="52.5" customHeight="1">
      <c r="B1" s="1623" t="s">
        <v>53</v>
      </c>
      <c r="C1" s="1623"/>
      <c r="D1" s="1623"/>
      <c r="E1" s="1623"/>
      <c r="F1" s="1623"/>
      <c r="G1" s="1623"/>
      <c r="H1" s="1623"/>
      <c r="I1" s="1623"/>
      <c r="J1" s="1623"/>
      <c r="K1" s="1623"/>
      <c r="L1" s="1623"/>
      <c r="M1" s="1623"/>
      <c r="N1" s="1623"/>
      <c r="O1" s="1623"/>
      <c r="P1" s="1623"/>
      <c r="Q1" s="1623"/>
      <c r="R1" s="1623"/>
      <c r="S1" s="1623"/>
      <c r="T1" s="1623"/>
      <c r="U1" s="1623"/>
      <c r="V1" s="1623"/>
      <c r="W1" s="1623"/>
      <c r="X1" s="1623"/>
      <c r="Y1" s="1623"/>
      <c r="Z1" s="1623"/>
      <c r="AA1" s="1623"/>
      <c r="AB1" s="1623"/>
      <c r="AC1" s="1623"/>
      <c r="AD1" s="1623"/>
      <c r="AE1" s="66"/>
    </row>
    <row r="2" spans="2:31" s="69" customFormat="1" ht="9.75" customHeight="1" thickBot="1">
      <c r="B2" s="68"/>
      <c r="E2" s="70"/>
      <c r="F2" s="71"/>
      <c r="G2" s="71"/>
      <c r="H2" s="71"/>
      <c r="I2" s="71"/>
      <c r="J2" s="71"/>
      <c r="K2" s="71"/>
      <c r="L2" s="71"/>
      <c r="M2" s="71"/>
      <c r="N2" s="71"/>
      <c r="O2" s="71"/>
      <c r="P2" s="72"/>
      <c r="Q2" s="71"/>
      <c r="R2" s="73"/>
      <c r="S2" s="71"/>
      <c r="T2" s="71"/>
      <c r="U2" s="71"/>
      <c r="V2" s="71"/>
      <c r="W2" s="71"/>
      <c r="X2" s="71"/>
      <c r="Y2" s="71"/>
      <c r="Z2" s="71"/>
      <c r="AA2" s="73"/>
      <c r="AB2" s="73"/>
      <c r="AC2" s="73"/>
      <c r="AD2" s="74"/>
    </row>
    <row r="3" spans="2:31" s="75" customFormat="1" ht="28.5" hidden="1" customHeight="1">
      <c r="B3" s="68"/>
      <c r="E3" s="76"/>
      <c r="F3" s="77"/>
      <c r="G3" s="77"/>
      <c r="H3" s="77"/>
      <c r="I3" s="77"/>
      <c r="J3" s="77"/>
      <c r="K3" s="77"/>
      <c r="L3" s="77"/>
      <c r="M3" s="77"/>
      <c r="N3" s="77"/>
      <c r="O3" s="77"/>
      <c r="P3" s="72"/>
      <c r="Q3" s="77"/>
      <c r="R3" s="73"/>
      <c r="S3" s="77"/>
      <c r="T3" s="77"/>
      <c r="U3" s="77"/>
      <c r="V3" s="77"/>
      <c r="W3" s="77"/>
      <c r="X3" s="77"/>
      <c r="Y3" s="77"/>
      <c r="Z3" s="77"/>
      <c r="AA3" s="73"/>
      <c r="AB3" s="73"/>
      <c r="AC3" s="73"/>
      <c r="AD3" s="74"/>
    </row>
    <row r="4" spans="2:31" ht="29.25" customHeight="1" thickBot="1">
      <c r="D4" s="80"/>
      <c r="E4" s="80"/>
      <c r="F4" s="80"/>
      <c r="G4" s="80"/>
      <c r="H4" s="64"/>
      <c r="I4" s="64"/>
      <c r="J4" s="64"/>
      <c r="K4" s="64"/>
      <c r="L4"/>
      <c r="M4"/>
      <c r="N4"/>
      <c r="O4" s="81" t="s">
        <v>54</v>
      </c>
      <c r="P4" s="82"/>
      <c r="Q4" s="82"/>
      <c r="R4" s="82"/>
      <c r="S4" s="82"/>
      <c r="T4" s="82"/>
      <c r="U4" s="83"/>
      <c r="X4"/>
      <c r="Y4"/>
      <c r="Z4"/>
      <c r="AA4" s="6"/>
    </row>
    <row r="5" spans="2:31" ht="9.75" customHeight="1" thickBot="1">
      <c r="E5" s="85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7"/>
      <c r="R5" s="86"/>
      <c r="S5" s="88"/>
      <c r="T5" s="89"/>
      <c r="U5" s="89"/>
      <c r="V5" s="89"/>
      <c r="W5" s="89"/>
      <c r="X5" s="86"/>
      <c r="Y5" s="89"/>
      <c r="Z5" s="86"/>
      <c r="AA5" s="90"/>
      <c r="AB5" s="91"/>
    </row>
    <row r="6" spans="2:31" ht="17.25" customHeight="1" thickBot="1">
      <c r="B6" s="92"/>
      <c r="C6" s="93"/>
      <c r="D6" s="94"/>
      <c r="E6" s="95"/>
      <c r="F6" s="96"/>
      <c r="G6" s="96"/>
      <c r="H6" s="96"/>
      <c r="I6" s="97"/>
      <c r="J6" s="96"/>
      <c r="K6" s="96"/>
      <c r="L6" s="96"/>
      <c r="M6" s="98"/>
      <c r="N6" s="96"/>
      <c r="O6" s="96"/>
      <c r="P6" s="98"/>
      <c r="Q6" s="96"/>
      <c r="R6" s="93"/>
      <c r="S6" s="98"/>
      <c r="T6" s="96"/>
      <c r="U6" s="99"/>
      <c r="V6" s="99"/>
      <c r="W6" s="100"/>
      <c r="X6" s="99"/>
      <c r="Y6"/>
      <c r="Z6"/>
      <c r="AA6" s="6"/>
      <c r="AB6" s="101"/>
    </row>
    <row r="7" spans="2:31" s="104" customFormat="1" ht="26.25" customHeight="1">
      <c r="B7" s="92"/>
      <c r="C7" s="93"/>
      <c r="D7" s="1624" t="s">
        <v>55</v>
      </c>
      <c r="E7" s="1625"/>
      <c r="F7" s="1625"/>
      <c r="G7" s="1626"/>
      <c r="H7" s="102" t="s">
        <v>56</v>
      </c>
      <c r="I7" s="1627" t="s">
        <v>57</v>
      </c>
      <c r="J7" s="1628"/>
      <c r="K7" s="103"/>
      <c r="L7" s="103"/>
      <c r="M7" s="1631" t="s">
        <v>58</v>
      </c>
      <c r="N7" s="1632"/>
      <c r="O7" s="103"/>
      <c r="P7" s="1631" t="s">
        <v>59</v>
      </c>
      <c r="Q7" s="1633"/>
      <c r="R7" s="93"/>
      <c r="S7" s="1634" t="s">
        <v>59</v>
      </c>
      <c r="T7" s="1635"/>
      <c r="U7"/>
      <c r="V7" s="1636" t="s">
        <v>60</v>
      </c>
      <c r="W7" s="1637"/>
      <c r="X7" s="1637"/>
      <c r="Y7" s="1638"/>
      <c r="Z7" s="2"/>
      <c r="AA7" s="1639" t="s">
        <v>61</v>
      </c>
      <c r="AB7" s="1640"/>
      <c r="AC7" s="1640"/>
      <c r="AD7" s="1641"/>
    </row>
    <row r="8" spans="2:31" ht="21" customHeight="1" thickBot="1">
      <c r="B8" s="92"/>
      <c r="C8" s="105"/>
      <c r="D8" s="1642" t="s">
        <v>62</v>
      </c>
      <c r="E8" s="1643"/>
      <c r="F8" s="1643"/>
      <c r="G8" s="1644"/>
      <c r="H8" s="106"/>
      <c r="I8" s="1629"/>
      <c r="J8" s="1630"/>
      <c r="K8" s="103"/>
      <c r="L8" s="103"/>
      <c r="M8" s="1645" t="s">
        <v>63</v>
      </c>
      <c r="N8" s="1646"/>
      <c r="O8" s="103"/>
      <c r="P8" s="1645" t="s">
        <v>64</v>
      </c>
      <c r="Q8" s="1647"/>
      <c r="R8" s="93"/>
      <c r="S8" s="1648" t="s">
        <v>65</v>
      </c>
      <c r="T8" s="1649"/>
      <c r="U8"/>
      <c r="V8" s="1650" t="s">
        <v>66</v>
      </c>
      <c r="W8" s="1651"/>
      <c r="X8" s="1651"/>
      <c r="Y8" s="1652"/>
      <c r="Z8" s="2"/>
      <c r="AA8" s="1653" t="s">
        <v>67</v>
      </c>
      <c r="AB8" s="1654"/>
      <c r="AC8" s="1654"/>
      <c r="AD8" s="1655"/>
      <c r="AE8" s="107"/>
    </row>
    <row r="9" spans="2:31" ht="14.25" customHeight="1" thickBot="1">
      <c r="B9" s="108"/>
      <c r="C9" s="109"/>
      <c r="D9" s="110"/>
      <c r="E9" s="111"/>
      <c r="F9" s="110"/>
      <c r="G9" s="110"/>
      <c r="H9" s="1656" t="s">
        <v>68</v>
      </c>
      <c r="I9" s="112"/>
      <c r="J9" s="113"/>
      <c r="K9" s="114"/>
      <c r="L9" s="114"/>
      <c r="M9" s="115"/>
      <c r="N9" s="116"/>
      <c r="O9" s="114"/>
      <c r="P9" s="115"/>
      <c r="Q9" s="116"/>
      <c r="R9" s="93"/>
      <c r="S9" s="117"/>
      <c r="T9" s="93"/>
      <c r="U9"/>
      <c r="V9" s="2"/>
      <c r="W9" s="23"/>
      <c r="X9" s="2"/>
      <c r="Y9" s="2"/>
      <c r="Z9" s="2"/>
      <c r="AA9" s="54"/>
      <c r="AB9" s="118"/>
      <c r="AC9" s="54"/>
      <c r="AD9" s="54"/>
      <c r="AE9" s="1622" t="s">
        <v>69</v>
      </c>
    </row>
    <row r="10" spans="2:31" ht="35.25" customHeight="1" thickBot="1">
      <c r="B10" s="108" t="s">
        <v>70</v>
      </c>
      <c r="C10" s="119"/>
      <c r="D10" s="1668" t="s">
        <v>71</v>
      </c>
      <c r="E10" s="1669"/>
      <c r="F10" s="1669"/>
      <c r="G10" s="1670"/>
      <c r="H10" s="1657"/>
      <c r="I10" s="94"/>
      <c r="J10" s="94"/>
      <c r="K10" s="103"/>
      <c r="L10" s="103"/>
      <c r="M10" s="1658" t="s">
        <v>72</v>
      </c>
      <c r="N10" s="1659"/>
      <c r="O10" s="103"/>
      <c r="P10" s="1671" t="s">
        <v>73</v>
      </c>
      <c r="Q10" s="1672"/>
      <c r="R10" s="93"/>
      <c r="S10" s="120" t="s">
        <v>74</v>
      </c>
      <c r="T10" s="121"/>
      <c r="U10" s="6"/>
      <c r="V10" s="1662" t="s">
        <v>75</v>
      </c>
      <c r="W10" s="1663"/>
      <c r="X10" s="1663"/>
      <c r="Y10" s="1664"/>
      <c r="Z10" s="54"/>
      <c r="AA10" s="1665" t="s">
        <v>76</v>
      </c>
      <c r="AB10" s="1673"/>
      <c r="AC10" s="1673"/>
      <c r="AD10" s="1674"/>
      <c r="AE10" s="1622"/>
    </row>
    <row r="11" spans="2:31" ht="18.75" customHeight="1" thickBot="1">
      <c r="B11" s="108"/>
      <c r="C11" s="119"/>
      <c r="D11" s="122"/>
      <c r="E11" s="123"/>
      <c r="F11" s="124"/>
      <c r="G11" s="125"/>
      <c r="H11" s="126"/>
      <c r="I11" s="94"/>
      <c r="J11" s="94"/>
      <c r="K11" s="103"/>
      <c r="L11" s="103"/>
      <c r="M11" s="115"/>
      <c r="N11" s="116"/>
      <c r="O11" s="103"/>
      <c r="P11" s="115"/>
      <c r="Q11" s="116"/>
      <c r="R11" s="93"/>
      <c r="S11" s="117"/>
      <c r="T11" s="127"/>
      <c r="U11" s="6"/>
      <c r="V11" s="54"/>
      <c r="W11" s="54"/>
      <c r="X11" s="128"/>
      <c r="Y11" s="54"/>
      <c r="Z11" s="54"/>
      <c r="AA11" s="54"/>
      <c r="AB11" s="54"/>
      <c r="AC11" s="129"/>
      <c r="AD11" s="54"/>
      <c r="AE11" s="1622" t="s">
        <v>77</v>
      </c>
    </row>
    <row r="12" spans="2:31" ht="48.75" customHeight="1" thickBot="1">
      <c r="B12" s="108" t="s">
        <v>78</v>
      </c>
      <c r="C12" s="119"/>
      <c r="D12" s="130"/>
      <c r="E12" s="131"/>
      <c r="F12" s="132"/>
      <c r="G12" s="132"/>
      <c r="H12" s="126"/>
      <c r="I12" s="94"/>
      <c r="J12" s="94"/>
      <c r="K12" s="93"/>
      <c r="L12" s="93"/>
      <c r="M12" s="1658" t="s">
        <v>79</v>
      </c>
      <c r="N12" s="1659"/>
      <c r="O12" s="93"/>
      <c r="P12" s="1660" t="s">
        <v>80</v>
      </c>
      <c r="Q12" s="1661"/>
      <c r="R12" s="93"/>
      <c r="S12" s="120" t="s">
        <v>81</v>
      </c>
      <c r="T12" s="121"/>
      <c r="U12" s="6"/>
      <c r="V12" s="1662" t="s">
        <v>82</v>
      </c>
      <c r="W12" s="1663"/>
      <c r="X12" s="1663"/>
      <c r="Y12" s="1664"/>
      <c r="Z12" s="54"/>
      <c r="AA12" s="1665" t="s">
        <v>83</v>
      </c>
      <c r="AB12" s="1666"/>
      <c r="AC12" s="1666"/>
      <c r="AD12" s="1667"/>
      <c r="AE12" s="1622"/>
    </row>
    <row r="13" spans="2:31" ht="14.25" customHeight="1" thickBot="1">
      <c r="B13" s="108"/>
      <c r="C13" s="119"/>
      <c r="D13" s="133"/>
      <c r="E13" s="134"/>
      <c r="F13" s="133"/>
      <c r="G13" s="133"/>
      <c r="H13" s="126"/>
      <c r="I13" s="94"/>
      <c r="J13" s="94"/>
      <c r="K13" s="93"/>
      <c r="L13" s="93"/>
      <c r="M13" s="115"/>
      <c r="N13" s="116"/>
      <c r="O13" s="93"/>
      <c r="P13" s="115"/>
      <c r="Q13" s="116"/>
      <c r="R13" s="93"/>
      <c r="S13" s="117"/>
      <c r="T13" s="127"/>
      <c r="U13" s="6"/>
      <c r="V13" s="54"/>
      <c r="W13" s="54"/>
      <c r="X13" s="128"/>
      <c r="Y13" s="54"/>
      <c r="Z13" s="54"/>
      <c r="AA13" s="135"/>
      <c r="AB13" s="136"/>
      <c r="AC13" s="53"/>
      <c r="AD13" s="53"/>
      <c r="AE13" s="1622" t="s">
        <v>77</v>
      </c>
    </row>
    <row r="14" spans="2:31" ht="43.5" customHeight="1" thickBot="1">
      <c r="B14" s="92" t="s">
        <v>84</v>
      </c>
      <c r="C14" s="119"/>
      <c r="D14" s="1668" t="s">
        <v>85</v>
      </c>
      <c r="E14" s="1669"/>
      <c r="F14" s="1669"/>
      <c r="G14" s="1670"/>
      <c r="H14" s="126"/>
      <c r="I14" s="94"/>
      <c r="J14" s="94"/>
      <c r="K14" s="93"/>
      <c r="L14" s="93"/>
      <c r="M14" s="1658" t="s">
        <v>86</v>
      </c>
      <c r="N14" s="1659"/>
      <c r="O14" s="93"/>
      <c r="P14" s="1660" t="s">
        <v>87</v>
      </c>
      <c r="Q14" s="1661"/>
      <c r="R14" s="93"/>
      <c r="S14" s="120" t="s">
        <v>88</v>
      </c>
      <c r="T14" s="121"/>
      <c r="U14" s="6"/>
      <c r="V14" s="1662" t="s">
        <v>89</v>
      </c>
      <c r="W14" s="1663"/>
      <c r="X14" s="1663"/>
      <c r="Y14" s="1664"/>
      <c r="Z14" s="54"/>
      <c r="AA14" s="1665" t="s">
        <v>90</v>
      </c>
      <c r="AB14" s="1673"/>
      <c r="AC14" s="1673"/>
      <c r="AD14" s="1674"/>
      <c r="AE14" s="1622"/>
    </row>
    <row r="15" spans="2:31" ht="15.75" customHeight="1" thickBot="1">
      <c r="B15" s="108"/>
      <c r="C15" s="119"/>
      <c r="D15" s="137"/>
      <c r="E15" s="138"/>
      <c r="F15" s="137"/>
      <c r="G15" s="137"/>
      <c r="H15" s="126"/>
      <c r="I15" s="94"/>
      <c r="J15" s="94"/>
      <c r="K15" s="103"/>
      <c r="L15" s="103"/>
      <c r="M15" s="115"/>
      <c r="N15" s="116"/>
      <c r="O15" s="103"/>
      <c r="P15" s="115"/>
      <c r="Q15" s="116"/>
      <c r="R15" s="93"/>
      <c r="S15" s="117"/>
      <c r="T15" s="127"/>
      <c r="U15" s="6"/>
      <c r="V15" s="54"/>
      <c r="W15" s="54"/>
      <c r="X15" s="128"/>
      <c r="Y15" s="54"/>
      <c r="Z15" s="54"/>
      <c r="AA15" s="135"/>
      <c r="AB15" s="136"/>
      <c r="AC15" s="53"/>
      <c r="AD15" s="53"/>
      <c r="AE15" s="1622" t="s">
        <v>69</v>
      </c>
    </row>
    <row r="16" spans="2:31" ht="45.75" customHeight="1" thickBot="1">
      <c r="B16" s="108" t="s">
        <v>78</v>
      </c>
      <c r="C16" s="119"/>
      <c r="D16" s="139"/>
      <c r="E16" s="140"/>
      <c r="F16" s="141"/>
      <c r="G16" s="142"/>
      <c r="H16" s="126"/>
      <c r="I16" s="94"/>
      <c r="J16" s="94"/>
      <c r="K16" s="103"/>
      <c r="L16" s="103"/>
      <c r="M16" s="1658" t="s">
        <v>91</v>
      </c>
      <c r="N16" s="1659"/>
      <c r="O16" s="103"/>
      <c r="P16" s="1660" t="s">
        <v>92</v>
      </c>
      <c r="Q16" s="1661"/>
      <c r="R16" s="93"/>
      <c r="S16" s="120" t="s">
        <v>93</v>
      </c>
      <c r="T16" s="121"/>
      <c r="U16" s="6"/>
      <c r="V16" s="1678" t="s">
        <v>94</v>
      </c>
      <c r="W16" s="1679"/>
      <c r="X16" s="1679"/>
      <c r="Y16" s="1680"/>
      <c r="Z16" s="54"/>
      <c r="AA16" s="1665" t="s">
        <v>95</v>
      </c>
      <c r="AB16" s="1673"/>
      <c r="AC16" s="1673"/>
      <c r="AD16" s="1674"/>
      <c r="AE16" s="1622"/>
    </row>
    <row r="17" spans="2:31" ht="21.75" customHeight="1" thickBot="1">
      <c r="B17" s="108"/>
      <c r="C17" s="119"/>
      <c r="D17" s="133"/>
      <c r="E17" s="134"/>
      <c r="F17" s="133"/>
      <c r="G17" s="133"/>
      <c r="H17" s="126"/>
      <c r="I17" s="94"/>
      <c r="J17" s="94"/>
      <c r="K17" s="103"/>
      <c r="L17" s="103"/>
      <c r="M17" s="115"/>
      <c r="N17" s="116"/>
      <c r="O17" s="103"/>
      <c r="P17" s="115"/>
      <c r="Q17" s="116"/>
      <c r="R17" s="93"/>
      <c r="S17" s="117"/>
      <c r="T17" s="127"/>
      <c r="U17" s="6"/>
      <c r="V17" s="54"/>
      <c r="W17" s="54"/>
      <c r="X17" s="143"/>
      <c r="Y17" s="54"/>
      <c r="Z17" s="54"/>
      <c r="AA17" s="54"/>
      <c r="AB17" s="144"/>
      <c r="AC17" s="54"/>
      <c r="AD17" s="54"/>
      <c r="AE17" s="145"/>
    </row>
    <row r="18" spans="2:31" ht="44.25" customHeight="1" thickBot="1">
      <c r="B18" s="108" t="s">
        <v>96</v>
      </c>
      <c r="C18" s="119"/>
      <c r="D18" s="1668" t="s">
        <v>97</v>
      </c>
      <c r="E18" s="1669"/>
      <c r="F18" s="1669"/>
      <c r="G18" s="1670"/>
      <c r="H18" s="146"/>
      <c r="I18" s="147"/>
      <c r="J18" s="147"/>
      <c r="K18" s="148"/>
      <c r="L18" s="148"/>
      <c r="M18" s="1658" t="s">
        <v>98</v>
      </c>
      <c r="N18" s="1659"/>
      <c r="O18" s="148"/>
      <c r="P18" s="1660" t="s">
        <v>99</v>
      </c>
      <c r="Q18" s="1661"/>
      <c r="R18" s="93"/>
      <c r="S18" s="120" t="s">
        <v>100</v>
      </c>
      <c r="T18" s="121"/>
      <c r="U18" s="6"/>
      <c r="V18" s="1675" t="s">
        <v>101</v>
      </c>
      <c r="W18" s="1676"/>
      <c r="X18" s="1676"/>
      <c r="Y18" s="1677"/>
      <c r="Z18" s="54"/>
      <c r="AA18" s="54"/>
      <c r="AB18" s="149"/>
      <c r="AC18" s="54"/>
      <c r="AD18" s="54"/>
      <c r="AE18" s="145"/>
    </row>
    <row r="19" spans="2:31" ht="15.75" customHeight="1" thickBot="1">
      <c r="B19" s="108"/>
      <c r="C19" s="119"/>
      <c r="D19" s="1681"/>
      <c r="E19" s="1681"/>
      <c r="F19" s="1681"/>
      <c r="G19" s="1681"/>
      <c r="H19" s="146"/>
      <c r="I19" s="150"/>
      <c r="J19" s="147"/>
      <c r="K19" s="151"/>
      <c r="L19" s="93"/>
      <c r="M19" s="115"/>
      <c r="N19" s="116"/>
      <c r="O19" s="93"/>
      <c r="P19" s="115"/>
      <c r="Q19" s="116"/>
      <c r="R19" s="93"/>
      <c r="S19" s="117"/>
      <c r="T19" s="127"/>
      <c r="U19" s="6"/>
      <c r="V19" s="54"/>
      <c r="W19" s="54"/>
      <c r="X19" s="152"/>
      <c r="Y19" s="54"/>
      <c r="Z19" s="54"/>
      <c r="AA19" s="54"/>
      <c r="AB19" s="149"/>
      <c r="AC19" s="54"/>
      <c r="AD19" s="54"/>
      <c r="AE19" s="145"/>
    </row>
    <row r="20" spans="2:31" ht="44.25" customHeight="1" thickBot="1">
      <c r="B20" s="108" t="s">
        <v>102</v>
      </c>
      <c r="C20" s="119"/>
      <c r="D20" s="1682"/>
      <c r="E20" s="1682"/>
      <c r="F20" s="1682"/>
      <c r="G20" s="1682"/>
      <c r="H20" s="146"/>
      <c r="I20" s="150"/>
      <c r="J20" s="147"/>
      <c r="K20" s="151"/>
      <c r="L20" s="93"/>
      <c r="M20" s="1658" t="s">
        <v>103</v>
      </c>
      <c r="N20" s="1659"/>
      <c r="O20" s="93"/>
      <c r="P20" s="1660" t="s">
        <v>104</v>
      </c>
      <c r="Q20" s="1661"/>
      <c r="R20" s="93"/>
      <c r="S20" s="120" t="s">
        <v>105</v>
      </c>
      <c r="T20" s="121"/>
      <c r="U20" s="6"/>
      <c r="V20" s="1683" t="s">
        <v>106</v>
      </c>
      <c r="W20" s="1684"/>
      <c r="X20" s="1684"/>
      <c r="Y20" s="1685"/>
      <c r="Z20" s="54"/>
      <c r="AA20" s="54"/>
      <c r="AB20" s="149"/>
      <c r="AC20" s="54"/>
      <c r="AD20" s="54"/>
      <c r="AE20" s="145"/>
    </row>
    <row r="21" spans="2:31" ht="18.75" customHeight="1" thickBot="1">
      <c r="B21" s="108"/>
      <c r="C21" s="119"/>
      <c r="D21" s="153"/>
      <c r="E21" s="141"/>
      <c r="F21" s="141"/>
      <c r="G21" s="142"/>
      <c r="H21" s="146"/>
      <c r="I21" s="150"/>
      <c r="J21" s="147"/>
      <c r="K21" s="151"/>
      <c r="L21" s="93"/>
      <c r="M21" s="115"/>
      <c r="N21" s="116"/>
      <c r="O21" s="93"/>
      <c r="P21" s="115"/>
      <c r="Q21" s="116"/>
      <c r="R21" s="93"/>
      <c r="S21" s="117"/>
      <c r="T21" s="127"/>
      <c r="U21" s="6"/>
      <c r="V21" s="54"/>
      <c r="W21" s="54"/>
      <c r="X21" s="152"/>
      <c r="Y21" s="54"/>
      <c r="Z21" s="54"/>
      <c r="AA21" s="54"/>
      <c r="AB21" s="149"/>
      <c r="AC21" s="54"/>
      <c r="AD21" s="54"/>
      <c r="AE21" s="145"/>
    </row>
    <row r="22" spans="2:31" ht="44.25" customHeight="1" thickBot="1">
      <c r="B22" s="108"/>
      <c r="C22" s="119"/>
      <c r="D22" s="154"/>
      <c r="E22" s="142"/>
      <c r="F22" s="142"/>
      <c r="G22" s="142"/>
      <c r="H22" s="146"/>
      <c r="I22" s="150"/>
      <c r="J22" s="147"/>
      <c r="K22" s="151"/>
      <c r="L22" s="93"/>
      <c r="M22" s="1658" t="s">
        <v>107</v>
      </c>
      <c r="N22" s="1659"/>
      <c r="O22" s="93"/>
      <c r="P22" s="1660" t="s">
        <v>108</v>
      </c>
      <c r="Q22" s="1661"/>
      <c r="R22" s="93"/>
      <c r="S22" s="120" t="s">
        <v>109</v>
      </c>
      <c r="T22" s="121"/>
      <c r="U22" s="6"/>
      <c r="V22" s="1675" t="s">
        <v>110</v>
      </c>
      <c r="W22" s="1676"/>
      <c r="X22" s="1676"/>
      <c r="Y22" s="1677"/>
      <c r="Z22" s="54"/>
      <c r="AA22" s="1686"/>
      <c r="AB22" s="1687"/>
      <c r="AC22" s="1687"/>
      <c r="AD22" s="1687"/>
      <c r="AE22" s="155"/>
    </row>
    <row r="23" spans="2:31" ht="13.5" customHeight="1" thickBot="1">
      <c r="B23" s="108"/>
      <c r="C23" s="119"/>
      <c r="D23" s="156"/>
      <c r="E23" s="157"/>
      <c r="F23" s="158"/>
      <c r="G23" s="158"/>
      <c r="H23" s="146"/>
      <c r="I23" s="150"/>
      <c r="J23" s="147"/>
      <c r="K23" s="159"/>
      <c r="L23" s="93"/>
      <c r="M23" s="115"/>
      <c r="N23" s="116"/>
      <c r="O23" s="93"/>
      <c r="P23" s="115"/>
      <c r="Q23" s="116"/>
      <c r="R23" s="93"/>
      <c r="S23" s="117"/>
      <c r="T23" s="127"/>
      <c r="U23" s="6"/>
      <c r="V23" s="54"/>
      <c r="W23" s="54"/>
      <c r="X23" s="160"/>
      <c r="Y23" s="54"/>
      <c r="Z23" s="54"/>
      <c r="AA23" s="149"/>
      <c r="AB23" s="149"/>
      <c r="AC23" s="161"/>
      <c r="AD23" s="149"/>
      <c r="AE23" s="99"/>
    </row>
    <row r="24" spans="2:31" ht="48" customHeight="1" thickBot="1">
      <c r="B24" s="108" t="s">
        <v>70</v>
      </c>
      <c r="C24" s="119"/>
      <c r="D24" s="156"/>
      <c r="E24" s="157"/>
      <c r="F24" s="158"/>
      <c r="G24" s="158"/>
      <c r="H24" s="146"/>
      <c r="I24" s="150"/>
      <c r="J24" s="147"/>
      <c r="K24" s="162"/>
      <c r="L24" s="93"/>
      <c r="M24" s="1658" t="s">
        <v>111</v>
      </c>
      <c r="N24" s="1659"/>
      <c r="O24" s="93"/>
      <c r="P24" s="1660" t="s">
        <v>112</v>
      </c>
      <c r="Q24" s="1661"/>
      <c r="R24" s="93"/>
      <c r="S24" s="1688" t="s">
        <v>113</v>
      </c>
      <c r="T24" s="1689"/>
      <c r="U24" s="6"/>
      <c r="V24" s="1683" t="s">
        <v>114</v>
      </c>
      <c r="W24" s="1684"/>
      <c r="X24" s="1684"/>
      <c r="Y24" s="1685"/>
      <c r="Z24" s="54"/>
      <c r="AA24" s="1686"/>
      <c r="AB24" s="1686"/>
      <c r="AC24" s="1686"/>
      <c r="AD24" s="1686"/>
      <c r="AE24" s="155"/>
    </row>
    <row r="25" spans="2:31" ht="11.25" customHeight="1" thickBot="1">
      <c r="B25" s="108"/>
      <c r="C25" s="119"/>
      <c r="D25" s="156"/>
      <c r="E25" s="157"/>
      <c r="F25" s="158"/>
      <c r="G25" s="158"/>
      <c r="H25" s="146"/>
      <c r="I25" s="150"/>
      <c r="J25" s="147"/>
      <c r="K25" s="159"/>
      <c r="L25" s="93"/>
      <c r="M25" s="163"/>
      <c r="N25" s="93"/>
      <c r="O25" s="93"/>
      <c r="P25" s="93"/>
      <c r="Q25" s="93"/>
      <c r="R25" s="93"/>
      <c r="S25" s="117"/>
      <c r="T25" s="127"/>
      <c r="U25" s="6"/>
      <c r="V25" s="54"/>
      <c r="W25" s="54"/>
      <c r="X25" s="164"/>
      <c r="Y25" s="54"/>
      <c r="Z25" s="54"/>
      <c r="AA25" s="135"/>
      <c r="AB25" s="161"/>
      <c r="AC25" s="161"/>
      <c r="AD25" s="161"/>
      <c r="AE25" s="155"/>
    </row>
    <row r="26" spans="2:31" ht="42" customHeight="1" thickBot="1">
      <c r="B26" s="108" t="s">
        <v>115</v>
      </c>
      <c r="C26" s="119"/>
      <c r="D26" s="156"/>
      <c r="E26" s="157"/>
      <c r="F26" s="158"/>
      <c r="G26" s="158"/>
      <c r="H26" s="146"/>
      <c r="I26" s="150"/>
      <c r="J26" s="147"/>
      <c r="K26" s="159"/>
      <c r="L26" s="93"/>
      <c r="M26" s="1658" t="s">
        <v>116</v>
      </c>
      <c r="N26" s="1659"/>
      <c r="O26" s="93"/>
      <c r="P26" s="93"/>
      <c r="Q26" s="93"/>
      <c r="R26" s="93"/>
      <c r="S26" s="120" t="s">
        <v>117</v>
      </c>
      <c r="T26" s="121"/>
      <c r="U26" s="6"/>
      <c r="V26" s="1675" t="s">
        <v>118</v>
      </c>
      <c r="W26" s="1690"/>
      <c r="X26" s="1690"/>
      <c r="Y26" s="1691"/>
      <c r="Z26" s="54"/>
      <c r="AA26" s="1686"/>
      <c r="AB26" s="1687"/>
      <c r="AC26" s="1687"/>
      <c r="AD26" s="1687"/>
      <c r="AE26" s="155"/>
    </row>
    <row r="27" spans="2:31" ht="14.25" customHeight="1" thickBot="1">
      <c r="B27" s="108"/>
      <c r="C27" s="119"/>
      <c r="D27" s="156"/>
      <c r="E27" s="157"/>
      <c r="F27" s="158"/>
      <c r="G27" s="158"/>
      <c r="H27" s="146"/>
      <c r="I27" s="150"/>
      <c r="J27" s="147"/>
      <c r="K27" s="159"/>
      <c r="L27" s="93"/>
      <c r="M27" s="163"/>
      <c r="N27" s="93"/>
      <c r="O27" s="93"/>
      <c r="P27" s="93"/>
      <c r="Q27" s="93"/>
      <c r="R27" s="93"/>
      <c r="S27" s="117"/>
      <c r="T27" s="127"/>
      <c r="U27" s="6"/>
      <c r="V27" s="54"/>
      <c r="W27" s="165"/>
      <c r="X27" s="165"/>
      <c r="Y27" s="54"/>
      <c r="Z27" s="54"/>
      <c r="AA27" s="135"/>
      <c r="AB27" s="161"/>
      <c r="AC27" s="161"/>
      <c r="AD27" s="161"/>
      <c r="AE27" s="155"/>
    </row>
    <row r="28" spans="2:31" ht="32.25" customHeight="1" thickBot="1">
      <c r="B28" s="108" t="s">
        <v>119</v>
      </c>
      <c r="C28" s="119"/>
      <c r="D28" s="156"/>
      <c r="E28" s="157"/>
      <c r="F28" s="158"/>
      <c r="G28" s="158"/>
      <c r="H28" s="146"/>
      <c r="I28" s="150"/>
      <c r="J28" s="147"/>
      <c r="K28" s="159"/>
      <c r="L28" s="93"/>
      <c r="M28" s="1658" t="s">
        <v>120</v>
      </c>
      <c r="N28" s="1659"/>
      <c r="O28" s="93"/>
      <c r="P28" s="93"/>
      <c r="Q28" s="93"/>
      <c r="R28" s="93"/>
      <c r="S28" s="120" t="s">
        <v>121</v>
      </c>
      <c r="T28" s="121"/>
      <c r="U28" s="6"/>
      <c r="V28" s="1692"/>
      <c r="W28" s="1687"/>
      <c r="X28" s="1687"/>
      <c r="Y28" s="1687"/>
      <c r="Z28" s="54"/>
      <c r="AA28" s="1686"/>
      <c r="AB28" s="1687"/>
      <c r="AC28" s="1687"/>
      <c r="AD28" s="1687"/>
      <c r="AE28" s="155"/>
    </row>
    <row r="29" spans="2:31" ht="12.75" customHeight="1" thickBot="1">
      <c r="B29" s="108"/>
      <c r="C29" s="119"/>
      <c r="D29" s="156"/>
      <c r="E29" s="157"/>
      <c r="F29" s="158"/>
      <c r="G29" s="158"/>
      <c r="H29" s="146"/>
      <c r="I29" s="150"/>
      <c r="J29" s="147"/>
      <c r="K29" s="159"/>
      <c r="L29" s="93"/>
      <c r="M29" s="163"/>
      <c r="N29" s="93"/>
      <c r="O29" s="93"/>
      <c r="P29" s="93"/>
      <c r="Q29" s="93"/>
      <c r="R29" s="93"/>
      <c r="S29" s="166"/>
      <c r="T29" s="127"/>
      <c r="U29" s="6"/>
      <c r="V29" s="149"/>
      <c r="W29" s="161"/>
      <c r="X29" s="149"/>
      <c r="Y29" s="149"/>
      <c r="Z29" s="54"/>
      <c r="AA29" s="167"/>
      <c r="AB29" s="149"/>
      <c r="AC29" s="149"/>
      <c r="AD29" s="149"/>
      <c r="AE29" s="85"/>
    </row>
    <row r="30" spans="2:31" ht="41.25" customHeight="1" thickBot="1">
      <c r="B30" s="108" t="s">
        <v>84</v>
      </c>
      <c r="C30" s="119"/>
      <c r="D30" s="156"/>
      <c r="E30" s="157"/>
      <c r="F30" s="158"/>
      <c r="G30" s="158"/>
      <c r="H30" s="146"/>
      <c r="I30" s="150"/>
      <c r="J30" s="147"/>
      <c r="K30" s="159"/>
      <c r="L30" s="93"/>
      <c r="M30" s="1658" t="s">
        <v>122</v>
      </c>
      <c r="N30" s="1659"/>
      <c r="O30" s="93"/>
      <c r="P30" s="93"/>
      <c r="Q30" s="93"/>
      <c r="R30" s="93"/>
      <c r="S30" s="120" t="s">
        <v>123</v>
      </c>
      <c r="T30" s="121"/>
      <c r="U30" s="6"/>
      <c r="V30" s="1695"/>
      <c r="W30" s="1695"/>
      <c r="X30" s="1695"/>
      <c r="Y30" s="1695"/>
      <c r="Z30" s="54"/>
      <c r="AA30" s="1686"/>
      <c r="AB30" s="1687"/>
      <c r="AC30" s="1687"/>
      <c r="AD30" s="1687"/>
      <c r="AE30" s="3"/>
    </row>
    <row r="31" spans="2:31" ht="15" customHeight="1" thickBot="1">
      <c r="B31" s="108"/>
      <c r="C31" s="119"/>
      <c r="D31" s="156"/>
      <c r="E31" s="157"/>
      <c r="F31" s="158"/>
      <c r="G31" s="158"/>
      <c r="H31" s="146"/>
      <c r="I31" s="150"/>
      <c r="J31" s="147"/>
      <c r="K31" s="159"/>
      <c r="L31" s="93"/>
      <c r="M31" s="163"/>
      <c r="N31" s="93"/>
      <c r="O31" s="93"/>
      <c r="P31" s="93"/>
      <c r="Q31" s="93"/>
      <c r="R31" s="93"/>
      <c r="S31" s="166"/>
      <c r="T31" s="127"/>
      <c r="U31" s="6"/>
      <c r="V31" s="161"/>
      <c r="W31" s="161"/>
      <c r="X31" s="161"/>
      <c r="Y31" s="161"/>
      <c r="Z31" s="54"/>
      <c r="AA31" s="54"/>
      <c r="AB31" s="54"/>
      <c r="AC31" s="54"/>
      <c r="AD31" s="54"/>
    </row>
    <row r="32" spans="2:31" ht="30.75" customHeight="1" thickBot="1">
      <c r="B32" s="108" t="s">
        <v>124</v>
      </c>
      <c r="C32" s="119"/>
      <c r="D32" s="156"/>
      <c r="E32" s="157"/>
      <c r="F32" s="158"/>
      <c r="G32" s="158"/>
      <c r="H32" s="146"/>
      <c r="I32" s="150"/>
      <c r="J32" s="147"/>
      <c r="K32" s="159"/>
      <c r="L32" s="93"/>
      <c r="M32" s="1658" t="s">
        <v>125</v>
      </c>
      <c r="N32" s="1659"/>
      <c r="O32" s="93"/>
      <c r="P32" s="93"/>
      <c r="Q32" s="93"/>
      <c r="R32" s="93"/>
      <c r="S32" s="120" t="s">
        <v>126</v>
      </c>
      <c r="T32" s="121"/>
      <c r="U32" s="84"/>
      <c r="V32" s="1692"/>
      <c r="W32" s="1692"/>
      <c r="X32" s="1692"/>
      <c r="Y32" s="1692"/>
      <c r="Z32" s="54"/>
      <c r="AA32" s="54"/>
      <c r="AB32" s="54"/>
      <c r="AC32" s="54"/>
      <c r="AD32" s="54"/>
      <c r="AE32"/>
    </row>
    <row r="33" spans="2:31" ht="13.5" customHeight="1" thickBot="1">
      <c r="B33" s="108"/>
      <c r="C33" s="119"/>
      <c r="D33" s="156"/>
      <c r="E33" s="157"/>
      <c r="F33" s="158"/>
      <c r="G33" s="158"/>
      <c r="H33" s="146"/>
      <c r="I33" s="150"/>
      <c r="J33" s="147"/>
      <c r="K33" s="159"/>
      <c r="L33" s="93"/>
      <c r="M33" s="163"/>
      <c r="N33" s="93"/>
      <c r="O33" s="93"/>
      <c r="P33" s="93"/>
      <c r="Q33" s="93"/>
      <c r="R33" s="93"/>
      <c r="S33" s="166"/>
      <c r="T33" s="127"/>
      <c r="U33" s="84"/>
      <c r="V33" s="84"/>
      <c r="W33" s="168"/>
      <c r="X33" s="84"/>
      <c r="Y33" s="84"/>
      <c r="Z33" s="84"/>
      <c r="AA33" s="6"/>
      <c r="AB33" s="6"/>
      <c r="AC33" s="6"/>
      <c r="AD33" s="6"/>
      <c r="AE33"/>
    </row>
    <row r="34" spans="2:31" ht="42" customHeight="1" thickBot="1">
      <c r="B34" s="108" t="s">
        <v>52</v>
      </c>
      <c r="C34" s="119"/>
      <c r="D34" s="156"/>
      <c r="E34" s="157"/>
      <c r="F34" s="158"/>
      <c r="G34" s="158"/>
      <c r="H34" s="146"/>
      <c r="I34" s="150"/>
      <c r="J34" s="147"/>
      <c r="K34" s="159"/>
      <c r="L34" s="93"/>
      <c r="M34" s="1658" t="s">
        <v>127</v>
      </c>
      <c r="N34" s="1659"/>
      <c r="O34" s="93"/>
      <c r="P34" s="93"/>
      <c r="Q34" s="93"/>
      <c r="R34" s="93"/>
      <c r="S34" s="120" t="s">
        <v>128</v>
      </c>
      <c r="T34" s="121"/>
      <c r="U34" s="6"/>
      <c r="V34" s="169"/>
      <c r="W34" s="170"/>
      <c r="X34" s="169"/>
      <c r="Y34" s="169"/>
      <c r="Z34" s="84"/>
      <c r="AA34" s="6"/>
      <c r="AB34" s="6"/>
      <c r="AC34" s="6"/>
      <c r="AD34" s="6"/>
      <c r="AE34"/>
    </row>
    <row r="35" spans="2:31" ht="12" customHeight="1" thickBot="1">
      <c r="B35" s="108"/>
      <c r="C35" s="119"/>
      <c r="D35" s="156"/>
      <c r="E35" s="157"/>
      <c r="F35" s="158"/>
      <c r="G35" s="158"/>
      <c r="H35" s="146"/>
      <c r="I35" s="150"/>
      <c r="J35" s="147"/>
      <c r="K35" s="159"/>
      <c r="L35" s="93"/>
      <c r="M35" s="163"/>
      <c r="N35" s="93"/>
      <c r="O35" s="93"/>
      <c r="P35" s="93"/>
      <c r="Q35" s="93"/>
      <c r="R35" s="93"/>
      <c r="S35" s="166"/>
      <c r="T35" s="127"/>
      <c r="U35" s="6"/>
      <c r="V35" s="6"/>
      <c r="W35" s="84"/>
      <c r="X35" s="84"/>
      <c r="Y35" s="84"/>
      <c r="Z35" s="84"/>
      <c r="AA35" s="6"/>
      <c r="AB35" s="6"/>
      <c r="AC35" s="6"/>
      <c r="AD35" s="6"/>
      <c r="AE35"/>
    </row>
    <row r="36" spans="2:31" ht="46.5" customHeight="1" thickBot="1">
      <c r="B36" s="108"/>
      <c r="C36" s="119"/>
      <c r="D36" s="156"/>
      <c r="E36" s="157"/>
      <c r="F36" s="158"/>
      <c r="G36" s="158"/>
      <c r="H36" s="146"/>
      <c r="I36" s="150"/>
      <c r="J36" s="147"/>
      <c r="K36" s="159"/>
      <c r="L36" s="93"/>
      <c r="M36" s="1658" t="s">
        <v>129</v>
      </c>
      <c r="N36" s="1659"/>
      <c r="O36" s="93"/>
      <c r="P36" s="93"/>
      <c r="Q36" s="93"/>
      <c r="R36" s="93"/>
      <c r="S36" s="120" t="s">
        <v>130</v>
      </c>
      <c r="T36" s="121"/>
      <c r="U36" s="6"/>
      <c r="V36" s="6"/>
      <c r="W36" s="84"/>
      <c r="X36" s="84"/>
      <c r="Y36" s="84"/>
      <c r="Z36" s="84"/>
      <c r="AA36" s="6"/>
      <c r="AB36" s="6"/>
      <c r="AC36" s="6"/>
      <c r="AD36" s="6"/>
      <c r="AE36"/>
    </row>
    <row r="37" spans="2:31" ht="12" customHeight="1" thickBot="1">
      <c r="B37" s="108"/>
      <c r="C37" s="119"/>
      <c r="D37" s="156"/>
      <c r="E37" s="157"/>
      <c r="F37" s="158"/>
      <c r="G37" s="158"/>
      <c r="H37" s="146"/>
      <c r="I37" s="150"/>
      <c r="J37" s="147"/>
      <c r="K37" s="159"/>
      <c r="L37" s="93"/>
      <c r="M37" s="93"/>
      <c r="N37" s="93"/>
      <c r="O37" s="93"/>
      <c r="P37" s="93"/>
      <c r="Q37" s="93"/>
      <c r="R37" s="93"/>
      <c r="S37" s="171"/>
      <c r="T37" s="127"/>
      <c r="U37" s="6"/>
      <c r="V37" s="6"/>
      <c r="W37" s="84"/>
      <c r="X37" s="84"/>
      <c r="Y37" s="84"/>
      <c r="Z37" s="84"/>
      <c r="AA37" s="6"/>
      <c r="AB37" s="6"/>
      <c r="AC37" s="6"/>
      <c r="AD37" s="6"/>
      <c r="AE37"/>
    </row>
    <row r="38" spans="2:31" ht="29.25" customHeight="1" thickBot="1">
      <c r="B38" s="108"/>
      <c r="C38" s="172"/>
      <c r="D38" s="173"/>
      <c r="E38" s="174"/>
      <c r="F38" s="175"/>
      <c r="G38" s="175"/>
      <c r="H38" s="176"/>
      <c r="I38" s="150"/>
      <c r="J38" s="147"/>
      <c r="K38" s="159"/>
      <c r="L38" s="93"/>
      <c r="M38" s="93"/>
      <c r="N38" s="93"/>
      <c r="O38" s="93"/>
      <c r="P38" s="93"/>
      <c r="Q38" s="93"/>
      <c r="R38" s="93"/>
      <c r="S38" s="120" t="s">
        <v>131</v>
      </c>
      <c r="T38" s="121"/>
      <c r="U38" s="6"/>
      <c r="V38" s="6"/>
      <c r="W38" s="84"/>
      <c r="X38" s="6"/>
      <c r="Y38" s="6"/>
      <c r="Z38" s="6"/>
      <c r="AA38" s="6"/>
      <c r="AB38" s="6"/>
      <c r="AC38" s="6"/>
      <c r="AD38" s="6"/>
      <c r="AE38"/>
    </row>
    <row r="39" spans="2:31" ht="27" customHeight="1">
      <c r="C39" s="177" t="s">
        <v>16</v>
      </c>
      <c r="D39"/>
      <c r="F39" s="178" t="s">
        <v>132</v>
      </c>
      <c r="G39" s="179"/>
      <c r="H39" s="179"/>
      <c r="I39" s="179"/>
      <c r="J39" s="179"/>
      <c r="L39" s="180" t="s">
        <v>133</v>
      </c>
      <c r="N39" s="181"/>
      <c r="O39" s="181"/>
      <c r="Q39" s="182"/>
      <c r="R39" s="182"/>
      <c r="S39" s="183"/>
      <c r="T39" s="1693" t="s">
        <v>134</v>
      </c>
      <c r="U39" s="1693"/>
      <c r="V39" s="1693"/>
      <c r="W39" s="1693"/>
      <c r="X39" s="1693"/>
      <c r="Y39" s="1693"/>
      <c r="Z39" s="1693"/>
      <c r="AA39" s="1693"/>
      <c r="AB39" s="1693"/>
      <c r="AC39" s="1693"/>
      <c r="AD39" s="1693"/>
      <c r="AE39" s="1693"/>
    </row>
    <row r="40" spans="2:31" ht="16.5" customHeight="1">
      <c r="B40" s="184"/>
      <c r="D40"/>
      <c r="F40" s="178" t="s">
        <v>135</v>
      </c>
      <c r="G40" s="179"/>
      <c r="H40" s="179"/>
      <c r="I40" s="179"/>
      <c r="J40" s="179"/>
      <c r="L40" s="178" t="s">
        <v>136</v>
      </c>
      <c r="N40" s="178"/>
      <c r="O40" s="178"/>
      <c r="Q40" s="178"/>
      <c r="R40" s="185"/>
      <c r="S40" s="179"/>
      <c r="T40" s="1694" t="s">
        <v>137</v>
      </c>
      <c r="U40" s="1694"/>
      <c r="V40" s="1694"/>
      <c r="W40" s="1694"/>
      <c r="X40" s="1694"/>
      <c r="Y40" s="1694"/>
      <c r="Z40" s="1694"/>
      <c r="AA40" s="1694"/>
      <c r="AB40" s="1694"/>
      <c r="AC40" s="1694"/>
      <c r="AD40" s="1694"/>
      <c r="AE40" s="1694"/>
    </row>
  </sheetData>
  <mergeCells count="69">
    <mergeCell ref="M36:N36"/>
    <mergeCell ref="T39:AE39"/>
    <mergeCell ref="T40:AE40"/>
    <mergeCell ref="M30:N30"/>
    <mergeCell ref="V30:Y30"/>
    <mergeCell ref="AA30:AD30"/>
    <mergeCell ref="M32:N32"/>
    <mergeCell ref="V32:Y32"/>
    <mergeCell ref="M34:N34"/>
    <mergeCell ref="M26:N26"/>
    <mergeCell ref="V26:Y26"/>
    <mergeCell ref="AA26:AD26"/>
    <mergeCell ref="M28:N28"/>
    <mergeCell ref="V28:Y28"/>
    <mergeCell ref="AA28:AD28"/>
    <mergeCell ref="AA22:AD22"/>
    <mergeCell ref="M24:N24"/>
    <mergeCell ref="P24:Q24"/>
    <mergeCell ref="S24:T24"/>
    <mergeCell ref="V24:Y24"/>
    <mergeCell ref="AA24:AD24"/>
    <mergeCell ref="D19:G20"/>
    <mergeCell ref="M20:N20"/>
    <mergeCell ref="P20:Q20"/>
    <mergeCell ref="V20:Y20"/>
    <mergeCell ref="M22:N22"/>
    <mergeCell ref="P22:Q22"/>
    <mergeCell ref="V22:Y22"/>
    <mergeCell ref="D18:G18"/>
    <mergeCell ref="M18:N18"/>
    <mergeCell ref="P18:Q18"/>
    <mergeCell ref="V18:Y18"/>
    <mergeCell ref="AE13:AE14"/>
    <mergeCell ref="D14:G14"/>
    <mergeCell ref="M14:N14"/>
    <mergeCell ref="P14:Q14"/>
    <mergeCell ref="V14:Y14"/>
    <mergeCell ref="AA14:AD14"/>
    <mergeCell ref="AE15:AE16"/>
    <mergeCell ref="M16:N16"/>
    <mergeCell ref="P16:Q16"/>
    <mergeCell ref="V16:Y16"/>
    <mergeCell ref="AA16:AD16"/>
    <mergeCell ref="D10:G10"/>
    <mergeCell ref="M10:N10"/>
    <mergeCell ref="P10:Q10"/>
    <mergeCell ref="V10:Y10"/>
    <mergeCell ref="AA10:AD10"/>
    <mergeCell ref="AE11:AE12"/>
    <mergeCell ref="M12:N12"/>
    <mergeCell ref="P12:Q12"/>
    <mergeCell ref="V12:Y12"/>
    <mergeCell ref="AA12:AD12"/>
    <mergeCell ref="AE9:AE10"/>
    <mergeCell ref="B1:AD1"/>
    <mergeCell ref="D7:G7"/>
    <mergeCell ref="I7:J8"/>
    <mergeCell ref="M7:N7"/>
    <mergeCell ref="P7:Q7"/>
    <mergeCell ref="S7:T7"/>
    <mergeCell ref="V7:Y7"/>
    <mergeCell ref="AA7:AD7"/>
    <mergeCell ref="D8:G8"/>
    <mergeCell ref="M8:N8"/>
    <mergeCell ref="P8:Q8"/>
    <mergeCell ref="S8:T8"/>
    <mergeCell ref="V8:Y8"/>
    <mergeCell ref="AA8:AD8"/>
    <mergeCell ref="H9:H10"/>
  </mergeCells>
  <printOptions horizontalCentered="1"/>
  <pageMargins left="0.98425196850393704" right="0.78740157480314965" top="0.98425196850393704" bottom="0.19685039370078741" header="0.31496062992125984" footer="0.11811023622047245"/>
  <pageSetup paperSize="9" scale="49" orientation="landscape" r:id="rId1"/>
  <headerFooter alignWithMargins="0">
    <oddFooter xml:space="preserve">&amp;C&amp;16
&amp;14&amp;P+33
&amp;16
&amp;10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19</vt:i4>
      </vt:variant>
      <vt:variant>
        <vt:lpstr>Pojmenované oblasti</vt:lpstr>
      </vt:variant>
      <vt:variant>
        <vt:i4>8</vt:i4>
      </vt:variant>
    </vt:vector>
  </HeadingPairs>
  <TitlesOfParts>
    <vt:vector size="27" baseType="lpstr">
      <vt:lpstr>úvod</vt:lpstr>
      <vt:lpstr>tab</vt:lpstr>
      <vt:lpstr>Tab. 1 bilance</vt:lpstr>
      <vt:lpstr>Tab. 2 ukazatele</vt:lpstr>
      <vt:lpstr>TaB.3 platy</vt:lpstr>
      <vt:lpstr>Tab.4 v+v</vt:lpstr>
      <vt:lpstr>Tab. 5 výdaje kraje</vt:lpstr>
      <vt:lpstr>Tab. 6 Transfery</vt:lpstr>
      <vt:lpstr>Tab. 7 PF</vt:lpstr>
      <vt:lpstr>Tab. 8 - EU</vt:lpstr>
      <vt:lpstr>Tab. 9 EU platy- celkem</vt:lpstr>
      <vt:lpstr>Tab. 9a OSS MV</vt:lpstr>
      <vt:lpstr>Tab. 9b SOA Plzeň</vt:lpstr>
      <vt:lpstr>Tab. 9c Policie ČR kraje</vt:lpstr>
      <vt:lpstr>Tab. 9d HZS ČR kraje +ZÚ Hlučín</vt:lpstr>
      <vt:lpstr>Tab.9e VOš a SOŠ PO F-M</vt:lpstr>
      <vt:lpstr>Tab. 9f SUZ MV</vt:lpstr>
      <vt:lpstr>Tab. 10 EU příjmy</vt:lpstr>
      <vt:lpstr>schéma MV</vt:lpstr>
      <vt:lpstr>'Tab. 1 bilance'!Názvy_tisku</vt:lpstr>
      <vt:lpstr>'Tab. 9a OSS MV'!Názvy_tisku</vt:lpstr>
      <vt:lpstr>'TaB.3 platy'!Názvy_tisku</vt:lpstr>
      <vt:lpstr>'Tab. 1 bilance'!Oblast_tisku</vt:lpstr>
      <vt:lpstr>'Tab. 10 EU příjmy'!Oblast_tisku</vt:lpstr>
      <vt:lpstr>'Tab. 5 výdaje kraje'!Oblast_tisku</vt:lpstr>
      <vt:lpstr>'Tab. 8 - EU'!Oblast_tisku</vt:lpstr>
      <vt:lpstr>'Tab.4 v+v'!Oblast_tisku</vt:lpstr>
    </vt:vector>
  </TitlesOfParts>
  <Company>MF CR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kurfurstv</dc:creator>
  <cp:lastModifiedBy>MVCR</cp:lastModifiedBy>
  <cp:lastPrinted>2016-03-09T13:58:56Z</cp:lastPrinted>
  <dcterms:created xsi:type="dcterms:W3CDTF">1998-08-20T11:36:41Z</dcterms:created>
  <dcterms:modified xsi:type="dcterms:W3CDTF">2016-03-09T13:58:59Z</dcterms:modified>
</cp:coreProperties>
</file>